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activeTab="2"/>
  </bookViews>
  <sheets>
    <sheet name="cover" sheetId="1" r:id="rId1"/>
    <sheet name="TOC" sheetId="2" r:id="rId2"/>
    <sheet name="1" sheetId="3" r:id="rId3"/>
    <sheet name="2" sheetId="4" r:id="rId4"/>
    <sheet name="3" sheetId="5" r:id="rId5"/>
    <sheet name="4" sheetId="6" r:id="rId6"/>
    <sheet name="5" sheetId="7" r:id="rId7"/>
    <sheet name="0" sheetId="8" r:id="rId8"/>
  </sheets>
  <definedNames>
    <definedName name="coname">'cover'!$T$63</definedName>
    <definedName name="cosymbol">'cover'!$A$63</definedName>
    <definedName name="docno">'cover'!$Q$1</definedName>
    <definedName name="_xlnm.Print_Area" localSheetId="7">'0'!$A$1:$AH$75</definedName>
    <definedName name="_xlnm.Print_Area" localSheetId="2">'1'!$A$1:$AH$75</definedName>
    <definedName name="_xlnm.Print_Area" localSheetId="3">'2'!$A$1:$AH$75</definedName>
    <definedName name="_xlnm.Print_Area" localSheetId="4">'3'!$A$1:$AH$75</definedName>
    <definedName name="_xlnm.Print_Area" localSheetId="5">'4'!$A$1:$AH$75</definedName>
    <definedName name="_xlnm.Print_Area" localSheetId="6">'5'!$A$1:$AH$75</definedName>
    <definedName name="_xlnm.Print_Area" localSheetId="0">'cover'!$A$1:$T$63</definedName>
    <definedName name="_xlnm.Print_Area" localSheetId="1">'TOC'!$A$1:$AB$63</definedName>
    <definedName name="sheetqty">'1'!$AG$4</definedName>
    <definedName name="title">'cover'!$F$12</definedName>
    <definedName name="title2">'cover'!$F$10</definedName>
    <definedName name="toc1">'1'!$D$8</definedName>
    <definedName name="toc2">'1'!$D$14</definedName>
    <definedName name="toc3">'2'!$D$8</definedName>
    <definedName name="toc4">'3'!$D$8</definedName>
    <definedName name="toc5">'4'!$D$8</definedName>
    <definedName name="toc6">'5'!$D$8</definedName>
  </definedNames>
  <calcPr fullCalcOnLoad="1"/>
</workbook>
</file>

<file path=xl/comments3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4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5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6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7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8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sharedStrings.xml><?xml version="1.0" encoding="utf-8"?>
<sst xmlns="http://schemas.openxmlformats.org/spreadsheetml/2006/main" count="498" uniqueCount="297">
  <si>
    <t>1.</t>
  </si>
  <si>
    <t>2.</t>
  </si>
  <si>
    <t>Doc. No.</t>
  </si>
  <si>
    <t xml:space="preserve"> NTES</t>
  </si>
  <si>
    <t xml:space="preserve">Narai Thermal Engineering Services </t>
  </si>
  <si>
    <t>Date</t>
  </si>
  <si>
    <t>Psychrometrics deals with thermodynamic properties of moist air and</t>
  </si>
  <si>
    <t>uses these properties to analyze conditions and processes involving moist air.</t>
  </si>
  <si>
    <t>Introduction</t>
  </si>
  <si>
    <t>Definition</t>
  </si>
  <si>
    <t>℃</t>
  </si>
  <si>
    <t>Rh, %</t>
  </si>
  <si>
    <t>mmH2O</t>
  </si>
  <si>
    <t>Dry Bulb Temp.  Td</t>
  </si>
  <si>
    <t>Pressure</t>
  </si>
  <si>
    <t>2007.  7.  7.</t>
  </si>
  <si>
    <t>0.</t>
  </si>
  <si>
    <t>Aaaaaa</t>
  </si>
  <si>
    <t>3.</t>
  </si>
  <si>
    <t>Heating or Cooling Process</t>
  </si>
  <si>
    <t>Humidity Ratio,  W,  g/kg.Dry Air</t>
  </si>
  <si>
    <t>Rh, %</t>
  </si>
  <si>
    <t>℃</t>
  </si>
  <si>
    <t>Dry Bulb Temp.  Td</t>
  </si>
  <si>
    <t>Pressure</t>
  </si>
  <si>
    <t>ma</t>
  </si>
  <si>
    <t>h1</t>
  </si>
  <si>
    <t>W1</t>
  </si>
  <si>
    <t>h2</t>
  </si>
  <si>
    <t>W2</t>
  </si>
  <si>
    <t>Where,</t>
  </si>
  <si>
    <t>Heat added or removed</t>
  </si>
  <si>
    <t>Positive ( + ) sign for heat added</t>
  </si>
  <si>
    <t>=</t>
  </si>
  <si>
    <t>Dry Bulb Temp.</t>
  </si>
  <si>
    <t>℃</t>
  </si>
  <si>
    <t>Relative Humidity</t>
  </si>
  <si>
    <t>%</t>
  </si>
  <si>
    <t>Pressure</t>
  </si>
  <si>
    <t>Flowrate</t>
  </si>
  <si>
    <t>kg/h</t>
  </si>
  <si>
    <t>kcal / kg dry air</t>
  </si>
  <si>
    <t>kg wv / kg dry air</t>
  </si>
  <si>
    <t>kg/h</t>
  </si>
  <si>
    <t>Composition</t>
  </si>
  <si>
    <t>volume%</t>
  </si>
  <si>
    <t>Dry Air</t>
  </si>
  <si>
    <t>H2O</t>
  </si>
  <si>
    <t>N2</t>
  </si>
  <si>
    <t>O2</t>
  </si>
  <si>
    <t>Ar</t>
  </si>
  <si>
    <t>CO2</t>
  </si>
  <si>
    <t>Total</t>
  </si>
  <si>
    <t>M. Weight</t>
  </si>
  <si>
    <t>Density</t>
  </si>
  <si>
    <t>Dew Point</t>
  </si>
  <si>
    <t>℃</t>
  </si>
  <si>
    <t>Air defined</t>
  </si>
  <si>
    <t>Density</t>
  </si>
  <si>
    <t>kg/m3</t>
  </si>
  <si>
    <t>State 2</t>
  </si>
  <si>
    <t>State 1</t>
  </si>
  <si>
    <t>Humidity Ratio,  W,  g/kg.Dry Air</t>
  </si>
  <si>
    <t>Dry Bulb Temp.</t>
  </si>
  <si>
    <t>Composition</t>
  </si>
  <si>
    <t>volume%</t>
  </si>
  <si>
    <t>Dry Air</t>
  </si>
  <si>
    <t>Relative Humidity</t>
  </si>
  <si>
    <t>%</t>
  </si>
  <si>
    <t>H2O</t>
  </si>
  <si>
    <t>N2</t>
  </si>
  <si>
    <t>Flowrate</t>
  </si>
  <si>
    <t>O2</t>
  </si>
  <si>
    <t>kcal / kg dry air</t>
  </si>
  <si>
    <t>Ar</t>
  </si>
  <si>
    <t>kg wv / kg dry air</t>
  </si>
  <si>
    <t>CO2</t>
  </si>
  <si>
    <t>Density</t>
  </si>
  <si>
    <t>kg/m3</t>
  </si>
  <si>
    <t>Total</t>
  </si>
  <si>
    <t>M. Weight</t>
  </si>
  <si>
    <t>Dew Point</t>
  </si>
  <si>
    <t>4.</t>
  </si>
  <si>
    <t>Humidity Ratio,  W,  g/kg.Dry Air</t>
  </si>
  <si>
    <t>Rh, %</t>
  </si>
  <si>
    <t>Dry Bulb Temp.  Td</t>
  </si>
  <si>
    <t>℃</t>
  </si>
  <si>
    <t>Pressure</t>
  </si>
  <si>
    <t>State 1</t>
  </si>
  <si>
    <t>State 2</t>
  </si>
  <si>
    <t>Air defined</t>
  </si>
  <si>
    <t>ma</t>
  </si>
  <si>
    <t>Dry Bulb Temp.</t>
  </si>
  <si>
    <t>Composition</t>
  </si>
  <si>
    <t>volume%</t>
  </si>
  <si>
    <t>Dry Air</t>
  </si>
  <si>
    <t>h1</t>
  </si>
  <si>
    <t>h2</t>
  </si>
  <si>
    <t>Relative Humidity</t>
  </si>
  <si>
    <t>%</t>
  </si>
  <si>
    <t>H2O</t>
  </si>
  <si>
    <t>W1</t>
  </si>
  <si>
    <t>W2</t>
  </si>
  <si>
    <t>N2</t>
  </si>
  <si>
    <t>Flowrate</t>
  </si>
  <si>
    <t>O2</t>
  </si>
  <si>
    <t>kcal / kg dry air</t>
  </si>
  <si>
    <t>Ar</t>
  </si>
  <si>
    <t>kg wv / kg dry air</t>
  </si>
  <si>
    <t>CO2</t>
  </si>
  <si>
    <t>Density</t>
  </si>
  <si>
    <t>kg/m3</t>
  </si>
  <si>
    <t>kg/h</t>
  </si>
  <si>
    <t>Total</t>
  </si>
  <si>
    <t>M. Weight</t>
  </si>
  <si>
    <t>Dew Point</t>
  </si>
  <si>
    <t>Humidifying Process</t>
  </si>
  <si>
    <t>Humidity Ratio,  W,  g/kg.Dry Air</t>
  </si>
  <si>
    <t>Rh, %</t>
  </si>
  <si>
    <t>Dry Bulb Temp.  Td</t>
  </si>
  <si>
    <t>℃</t>
  </si>
  <si>
    <t>Pressure</t>
  </si>
  <si>
    <t>State 1</t>
  </si>
  <si>
    <t>State 2</t>
  </si>
  <si>
    <t>Air defined</t>
  </si>
  <si>
    <t>Dry Bulb Temp.</t>
  </si>
  <si>
    <t>Composition</t>
  </si>
  <si>
    <t>volume%</t>
  </si>
  <si>
    <t>Dry Air</t>
  </si>
  <si>
    <t>h1</t>
  </si>
  <si>
    <t>Relative Humidity</t>
  </si>
  <si>
    <t>%</t>
  </si>
  <si>
    <t>H2O</t>
  </si>
  <si>
    <t>W1</t>
  </si>
  <si>
    <t>N2</t>
  </si>
  <si>
    <t>Flowrate</t>
  </si>
  <si>
    <t>O2</t>
  </si>
  <si>
    <t>Ar</t>
  </si>
  <si>
    <t>CO2</t>
  </si>
  <si>
    <t>Density</t>
  </si>
  <si>
    <t>kg/m3</t>
  </si>
  <si>
    <t>kg/h</t>
  </si>
  <si>
    <t>Total</t>
  </si>
  <si>
    <t>M. Weight</t>
  </si>
  <si>
    <t>Dew Point</t>
  </si>
  <si>
    <t>Adiabatic Mixing Process</t>
  </si>
  <si>
    <t>mw</t>
  </si>
  <si>
    <t>mw</t>
  </si>
  <si>
    <t>hw</t>
  </si>
  <si>
    <t>ma1</t>
  </si>
  <si>
    <t>ma2</t>
  </si>
  <si>
    <t>ma3</t>
  </si>
  <si>
    <t>h3</t>
  </si>
  <si>
    <t>W3</t>
  </si>
  <si>
    <t>Sensible Heating</t>
  </si>
  <si>
    <t>Sensible Cooling</t>
  </si>
  <si>
    <t>Dehumidifying</t>
  </si>
  <si>
    <t>+</t>
  </si>
  <si>
    <t>Ideal Process</t>
  </si>
  <si>
    <t>Thick Line</t>
  </si>
  <si>
    <t>+</t>
  </si>
  <si>
    <t>Humidifying</t>
  </si>
  <si>
    <t>hw</t>
  </si>
  <si>
    <t>hg</t>
  </si>
  <si>
    <t>=</t>
  </si>
  <si>
    <t>&gt;</t>
  </si>
  <si>
    <t>&lt;</t>
  </si>
  <si>
    <t>Adiabatic Mixing ( Injection ) of</t>
  </si>
  <si>
    <t>Steam</t>
  </si>
  <si>
    <t>Water</t>
  </si>
  <si>
    <t>at Tw</t>
  </si>
  <si>
    <t>:</t>
  </si>
  <si>
    <t>Evaporative Cooling</t>
  </si>
  <si>
    <t>Cooling Tower</t>
  </si>
  <si>
    <t>Adiabatic Mixing of Two Moist Air Streams</t>
  </si>
  <si>
    <t xml:space="preserve">Where, </t>
  </si>
  <si>
    <t>Tw</t>
  </si>
  <si>
    <t>Cooling and Dehumidifying Process</t>
  </si>
  <si>
    <t>m3/h</t>
  </si>
  <si>
    <t>/</t>
  </si>
  <si>
    <t>kcal/h  /  kW</t>
  </si>
  <si>
    <t>Q</t>
  </si>
  <si>
    <t>Q</t>
  </si>
  <si>
    <t>5.</t>
  </si>
  <si>
    <t>6.</t>
  </si>
  <si>
    <t>Volumetric</t>
  </si>
  <si>
    <t>m3/h</t>
  </si>
  <si>
    <t>m3 / kg dry air</t>
  </si>
  <si>
    <t>Specific Volume</t>
  </si>
  <si>
    <t>Flowrate</t>
  </si>
  <si>
    <t>kg dry air / h</t>
  </si>
  <si>
    <t>Process</t>
  </si>
  <si>
    <t>Heat and Mass Balance</t>
  </si>
  <si>
    <t>S A M P L E     C A L C U L A T I O N</t>
  </si>
  <si>
    <t>나 래 열 기 술</t>
  </si>
  <si>
    <t xml:space="preserve"> Rev.</t>
  </si>
  <si>
    <t xml:space="preserve"> Sheet No.</t>
  </si>
  <si>
    <t>sheets with a cover</t>
  </si>
  <si>
    <t>S. J. Lee</t>
  </si>
  <si>
    <t>LSJ</t>
  </si>
  <si>
    <t>Lee</t>
  </si>
  <si>
    <t>Rev.</t>
  </si>
  <si>
    <t>Description</t>
  </si>
  <si>
    <t>Prepared</t>
  </si>
  <si>
    <t>Reviewed</t>
  </si>
  <si>
    <t>Approved</t>
  </si>
  <si>
    <t>Narai  Thermal  Engineering  Services ( NTES )</t>
  </si>
  <si>
    <t>Homepage</t>
  </si>
  <si>
    <t>www.ntes.co.kr</t>
  </si>
  <si>
    <t>E-mail</t>
  </si>
  <si>
    <t>ntes@ntes.co.kr</t>
  </si>
  <si>
    <t xml:space="preserve">Narai Thermal engineering Services </t>
  </si>
  <si>
    <t xml:space="preserve"> Doc. No.</t>
  </si>
  <si>
    <t xml:space="preserve"> Date</t>
  </si>
  <si>
    <t>of</t>
  </si>
  <si>
    <t>T a b l e     of     C o n t e n t s</t>
  </si>
  <si>
    <t>1.</t>
  </si>
  <si>
    <t>2.</t>
  </si>
  <si>
    <t>3.</t>
  </si>
  <si>
    <t>4.</t>
  </si>
  <si>
    <t>5.</t>
  </si>
  <si>
    <t>6.</t>
  </si>
  <si>
    <t>Technical Material</t>
  </si>
  <si>
    <t>P S Y C H R O M E T R I C S   :     P R O C E S S</t>
  </si>
  <si>
    <t>TM - PSY - 200</t>
  </si>
  <si>
    <t>2016.  3.  1.</t>
  </si>
  <si>
    <t xml:space="preserve">   Updated.</t>
  </si>
  <si>
    <t xml:space="preserve">   Originally Prepared.</t>
  </si>
  <si>
    <t>2016.    3.    1.</t>
  </si>
  <si>
    <t xml:space="preserve">  Doc. No.</t>
  </si>
  <si>
    <t xml:space="preserve">  Date</t>
  </si>
  <si>
    <t>2016.    3.    1.</t>
  </si>
  <si>
    <t xml:space="preserve">  Revision</t>
  </si>
  <si>
    <t xml:space="preserve">  Sheet No.</t>
  </si>
  <si>
    <t>of</t>
  </si>
  <si>
    <t xml:space="preserve">  Date</t>
  </si>
  <si>
    <t>2016.    3.    1.</t>
  </si>
  <si>
    <t xml:space="preserve">  Revision</t>
  </si>
  <si>
    <t xml:space="preserve">  Sheet No.</t>
  </si>
  <si>
    <t>of</t>
  </si>
  <si>
    <t xml:space="preserve">  Date</t>
  </si>
  <si>
    <t>2016.    3.    1.</t>
  </si>
  <si>
    <t xml:space="preserve">  Revision</t>
  </si>
  <si>
    <t xml:space="preserve">  Sheet No.</t>
  </si>
  <si>
    <t>of</t>
  </si>
  <si>
    <t xml:space="preserve">  Doc. No.</t>
  </si>
  <si>
    <t xml:space="preserve">  Doc. No.</t>
  </si>
  <si>
    <t xml:space="preserve">  Date</t>
  </si>
  <si>
    <t xml:space="preserve">  Revision</t>
  </si>
  <si>
    <t xml:space="preserve">  Sheet No.</t>
  </si>
  <si>
    <t>of</t>
  </si>
  <si>
    <t>2007.    7.    7.</t>
  </si>
  <si>
    <t>State 3</t>
  </si>
  <si>
    <t>Psychrometric Chart</t>
  </si>
  <si>
    <t>Saturation Line</t>
  </si>
  <si>
    <t xml:space="preserve"> Humidity Ratio</t>
  </si>
  <si>
    <t xml:space="preserve"> W</t>
  </si>
  <si>
    <t>Dry Bulb Temperature</t>
  </si>
  <si>
    <t>Heat Exchanger</t>
  </si>
  <si>
    <t>Heat Load</t>
  </si>
  <si>
    <t>Cooler</t>
  </si>
  <si>
    <t>=</t>
  </si>
  <si>
    <t>(</t>
  </si>
  <si>
    <t>-</t>
  </si>
  <si>
    <t>)</t>
  </si>
  <si>
    <t>=</t>
  </si>
  <si>
    <t>+</t>
  </si>
  <si>
    <t>-&gt;</t>
  </si>
  <si>
    <t>(</t>
  </si>
  <si>
    <t>-</t>
  </si>
  <si>
    <t>)</t>
  </si>
  <si>
    <t>[</t>
  </si>
  <si>
    <t>]</t>
  </si>
  <si>
    <t>hs</t>
  </si>
  <si>
    <t>+</t>
  </si>
  <si>
    <t>=</t>
  </si>
  <si>
    <t>-&gt;</t>
  </si>
  <si>
    <t>-</t>
  </si>
  <si>
    <t>kg/Nm3</t>
  </si>
  <si>
    <t>kcal/h</t>
  </si>
  <si>
    <t>Heat Capacity</t>
  </si>
  <si>
    <t>Enthalpy</t>
  </si>
  <si>
    <t>Humidity Ratio</t>
  </si>
  <si>
    <t>)</t>
  </si>
  <si>
    <t>kcal/kg</t>
  </si>
  <si>
    <t>kacl/kg</t>
  </si>
  <si>
    <t>Heat Capacity</t>
  </si>
  <si>
    <t>kcal/h</t>
  </si>
  <si>
    <t>kJ / kg dry air</t>
  </si>
  <si>
    <t>Process</t>
  </si>
  <si>
    <t>Process 1-&gt;3</t>
  </si>
  <si>
    <t>Process 2-&gt;3</t>
  </si>
  <si>
    <t>Actual Process</t>
  </si>
  <si>
    <t>Thermodynamic Wet Bulb Temperature</t>
  </si>
  <si>
    <t>Enthalpy of Water</t>
  </si>
  <si>
    <t>Enthalpy of Steam</t>
  </si>
  <si>
    <t>-</t>
  </si>
</sst>
</file>

<file path=xl/styles.xml><?xml version="1.0" encoding="utf-8"?>
<styleSheet xmlns="http://schemas.openxmlformats.org/spreadsheetml/2006/main">
  <numFmts count="5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0"/>
    <numFmt numFmtId="179" formatCode="0.0000"/>
    <numFmt numFmtId="180" formatCode="0.000_ "/>
    <numFmt numFmtId="181" formatCode="0.00_ "/>
    <numFmt numFmtId="182" formatCode="0.0000000_ "/>
    <numFmt numFmtId="183" formatCode="0.000000_ "/>
    <numFmt numFmtId="184" formatCode="0.00000_ "/>
    <numFmt numFmtId="185" formatCode="0.0000_ "/>
    <numFmt numFmtId="186" formatCode="0.000E+00"/>
    <numFmt numFmtId="187" formatCode="0.0000E+00"/>
    <numFmt numFmtId="188" formatCode="0.00000E+00"/>
    <numFmt numFmtId="189" formatCode="0.000000E+00"/>
    <numFmt numFmtId="190" formatCode="0.0000000E+00"/>
    <numFmt numFmtId="191" formatCode="0.00000000_ "/>
    <numFmt numFmtId="192" formatCode="0.0_ "/>
    <numFmt numFmtId="193" formatCode="[$-412]yyyy&quot;년&quot;\ m&quot;월&quot;\ d&quot;일&quot;\ dddd"/>
    <numFmt numFmtId="194" formatCode="[$-412]AM/PM\ h:mm:ss"/>
    <numFmt numFmtId="195" formatCode="#,##0.0_ 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* #,##0_);_(* \(#,##0\);_(* &quot;-&quot;_);_(@_)"/>
    <numFmt numFmtId="202" formatCode="_(&quot; &quot;* #,##0.00_);_(&quot; &quot;* \(#,##0.00\);_(&quot; &quot;* &quot;-&quot;??_);_(@_)"/>
    <numFmt numFmtId="203" formatCode="_(* #,##0.00_);_(* \(#,##0.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&quot;\&quot;* #,##0_ ;_ &quot;\&quot;* \-#,##0_ ;_ &quot;\&quot;* &quot;-&quot;_ ;_ @_ "/>
    <numFmt numFmtId="209" formatCode="_ * #,##0_ ;_ * \-#,##0_ ;_ * &quot;-&quot;_ ;_ @_ "/>
    <numFmt numFmtId="210" formatCode="_ &quot;\&quot;* #,##0.00_ ;_ &quot;\&quot;* \-#,##0.00_ ;_ &quot;\&quot;* &quot;-&quot;??_ ;_ @_ "/>
    <numFmt numFmtId="211" formatCode="_ * #,##0.00_ ;_ * \-#,##0.00_ ;_ * &quot;-&quot;??_ ;_ @_ "/>
    <numFmt numFmtId="212" formatCode="&quot;\&quot;#,##0;&quot;\&quot;&quot;\&quot;&quot;\&quot;&quot;\&quot;&quot;\&quot;&quot;\&quot;&quot;\&quot;&quot;\&quot;\-#,##0"/>
    <numFmt numFmtId="213" formatCode="&quot;\&quot;#,##0.00;&quot;\&quot;&quot;\&quot;&quot;\&quot;&quot;\&quot;&quot;\&quot;&quot;\&quot;&quot;\&quot;&quot;\&quot;\-#,##0.00"/>
    <numFmt numFmtId="214" formatCode="mm&quot;월&quot;\ dd&quot;일&quot;"/>
    <numFmt numFmtId="215" formatCode="0_ "/>
    <numFmt numFmtId="216" formatCode="0.0000000"/>
    <numFmt numFmtId="217" formatCode="0.000000"/>
    <numFmt numFmtId="218" formatCode="0.00000"/>
    <numFmt numFmtId="219" formatCode="0.00000000"/>
  </numFmts>
  <fonts count="26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8"/>
      <color indexed="10"/>
      <name val="돋움"/>
      <family val="3"/>
    </font>
    <font>
      <b/>
      <sz val="10"/>
      <color indexed="12"/>
      <name val="Arial"/>
      <family val="2"/>
    </font>
    <font>
      <b/>
      <u val="single"/>
      <sz val="9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b/>
      <sz val="9"/>
      <name val="돋움"/>
      <family val="3"/>
    </font>
    <font>
      <b/>
      <sz val="6"/>
      <color indexed="10"/>
      <name val="Arial"/>
      <family val="2"/>
    </font>
    <font>
      <sz val="12"/>
      <name val="뼻뮝"/>
      <family val="1"/>
    </font>
    <font>
      <b/>
      <sz val="14"/>
      <name val="궁서체"/>
      <family val="1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u val="single"/>
      <sz val="8"/>
      <name val="Arial"/>
      <family val="2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2" fillId="0" borderId="9" xfId="0" applyFont="1" applyBorder="1" applyAlignment="1">
      <alignment/>
    </xf>
    <xf numFmtId="185" fontId="13" fillId="0" borderId="10" xfId="0" applyNumberFormat="1" applyFont="1" applyBorder="1" applyAlignment="1">
      <alignment/>
    </xf>
    <xf numFmtId="185" fontId="13" fillId="0" borderId="11" xfId="0" applyNumberFormat="1" applyFont="1" applyBorder="1" applyAlignment="1">
      <alignment/>
    </xf>
    <xf numFmtId="185" fontId="13" fillId="0" borderId="12" xfId="0" applyNumberFormat="1" applyFont="1" applyBorder="1" applyAlignment="1">
      <alignment/>
    </xf>
    <xf numFmtId="185" fontId="13" fillId="0" borderId="13" xfId="0" applyNumberFormat="1" applyFont="1" applyBorder="1" applyAlignment="1">
      <alignment/>
    </xf>
    <xf numFmtId="185" fontId="13" fillId="0" borderId="14" xfId="0" applyNumberFormat="1" applyFont="1" applyBorder="1" applyAlignment="1">
      <alignment/>
    </xf>
    <xf numFmtId="185" fontId="13" fillId="0" borderId="15" xfId="0" applyNumberFormat="1" applyFont="1" applyBorder="1" applyAlignment="1">
      <alignment/>
    </xf>
    <xf numFmtId="185" fontId="13" fillId="0" borderId="16" xfId="0" applyNumberFormat="1" applyFont="1" applyBorder="1" applyAlignment="1">
      <alignment/>
    </xf>
    <xf numFmtId="185" fontId="13" fillId="0" borderId="17" xfId="0" applyNumberFormat="1" applyFont="1" applyBorder="1" applyAlignment="1">
      <alignment/>
    </xf>
    <xf numFmtId="185" fontId="13" fillId="0" borderId="18" xfId="0" applyNumberFormat="1" applyFont="1" applyBorder="1" applyAlignment="1">
      <alignment/>
    </xf>
    <xf numFmtId="185" fontId="13" fillId="0" borderId="19" xfId="0" applyNumberFormat="1" applyFont="1" applyBorder="1" applyAlignment="1">
      <alignment/>
    </xf>
    <xf numFmtId="185" fontId="13" fillId="0" borderId="20" xfId="0" applyNumberFormat="1" applyFont="1" applyBorder="1" applyAlignment="1">
      <alignment/>
    </xf>
    <xf numFmtId="185" fontId="13" fillId="0" borderId="21" xfId="0" applyNumberFormat="1" applyFont="1" applyBorder="1" applyAlignment="1">
      <alignment/>
    </xf>
    <xf numFmtId="185" fontId="13" fillId="0" borderId="22" xfId="0" applyNumberFormat="1" applyFont="1" applyBorder="1" applyAlignment="1">
      <alignment/>
    </xf>
    <xf numFmtId="185" fontId="13" fillId="0" borderId="23" xfId="0" applyNumberFormat="1" applyFont="1" applyBorder="1" applyAlignment="1">
      <alignment/>
    </xf>
    <xf numFmtId="185" fontId="13" fillId="0" borderId="24" xfId="0" applyNumberFormat="1" applyFont="1" applyBorder="1" applyAlignment="1">
      <alignment/>
    </xf>
    <xf numFmtId="185" fontId="13" fillId="0" borderId="25" xfId="0" applyNumberFormat="1" applyFont="1" applyBorder="1" applyAlignment="1">
      <alignment/>
    </xf>
    <xf numFmtId="185" fontId="13" fillId="0" borderId="26" xfId="0" applyNumberFormat="1" applyFont="1" applyBorder="1" applyAlignment="1">
      <alignment/>
    </xf>
    <xf numFmtId="185" fontId="13" fillId="0" borderId="27" xfId="0" applyNumberFormat="1" applyFont="1" applyBorder="1" applyAlignment="1">
      <alignment/>
    </xf>
    <xf numFmtId="185" fontId="13" fillId="0" borderId="28" xfId="0" applyNumberFormat="1" applyFont="1" applyBorder="1" applyAlignment="1">
      <alignment/>
    </xf>
    <xf numFmtId="185" fontId="13" fillId="0" borderId="29" xfId="0" applyNumberFormat="1" applyFont="1" applyBorder="1" applyAlignment="1">
      <alignment/>
    </xf>
    <xf numFmtId="185" fontId="13" fillId="0" borderId="30" xfId="0" applyNumberFormat="1" applyFont="1" applyBorder="1" applyAlignment="1">
      <alignment/>
    </xf>
    <xf numFmtId="185" fontId="13" fillId="0" borderId="31" xfId="0" applyNumberFormat="1" applyFont="1" applyBorder="1" applyAlignment="1">
      <alignment/>
    </xf>
    <xf numFmtId="185" fontId="13" fillId="0" borderId="32" xfId="0" applyNumberFormat="1" applyFont="1" applyBorder="1" applyAlignment="1">
      <alignment/>
    </xf>
    <xf numFmtId="185" fontId="13" fillId="0" borderId="33" xfId="0" applyNumberFormat="1" applyFont="1" applyBorder="1" applyAlignment="1">
      <alignment/>
    </xf>
    <xf numFmtId="185" fontId="13" fillId="0" borderId="34" xfId="0" applyNumberFormat="1" applyFont="1" applyBorder="1" applyAlignment="1">
      <alignment/>
    </xf>
    <xf numFmtId="185" fontId="13" fillId="0" borderId="35" xfId="0" applyNumberFormat="1" applyFont="1" applyBorder="1" applyAlignment="1">
      <alignment/>
    </xf>
    <xf numFmtId="185" fontId="13" fillId="0" borderId="36" xfId="0" applyNumberFormat="1" applyFont="1" applyBorder="1" applyAlignment="1">
      <alignment/>
    </xf>
    <xf numFmtId="185" fontId="13" fillId="0" borderId="37" xfId="0" applyNumberFormat="1" applyFont="1" applyBorder="1" applyAlignment="1">
      <alignment/>
    </xf>
    <xf numFmtId="185" fontId="13" fillId="0" borderId="38" xfId="0" applyNumberFormat="1" applyFont="1" applyBorder="1" applyAlignment="1">
      <alignment/>
    </xf>
    <xf numFmtId="185" fontId="13" fillId="0" borderId="39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11" fillId="0" borderId="2" xfId="0" applyFont="1" applyBorder="1" applyAlignment="1">
      <alignment/>
    </xf>
    <xf numFmtId="176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176" fontId="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9" fillId="0" borderId="0" xfId="24" applyFont="1" applyBorder="1" applyAlignment="1">
      <alignment/>
    </xf>
    <xf numFmtId="0" fontId="2" fillId="0" borderId="4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2" fillId="0" borderId="42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4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2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1" fillId="0" borderId="40" xfId="0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1" fillId="0" borderId="4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/>
    </xf>
    <xf numFmtId="181" fontId="2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5" fontId="2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80" fontId="2" fillId="2" borderId="2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81" fontId="2" fillId="0" borderId="2" xfId="0" applyNumberFormat="1" applyFont="1" applyBorder="1" applyAlignment="1">
      <alignment horizontal="center"/>
    </xf>
    <xf numFmtId="195" fontId="2" fillId="0" borderId="7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80" fontId="2" fillId="2" borderId="7" xfId="0" applyNumberFormat="1" applyFont="1" applyFill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92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80" fontId="11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11" fillId="0" borderId="2" xfId="0" applyNumberFormat="1" applyFont="1" applyBorder="1" applyAlignment="1">
      <alignment horizontal="center"/>
    </xf>
    <xf numFmtId="192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176" fontId="11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/>
    </xf>
  </cellXfs>
  <cellStyles count="11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085-LTR" xfId="20"/>
    <cellStyle name="콤마_1085-LTR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/>
              <a:t>Psychrometric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2!$AK$11</c:f>
              <c:strCache>
                <c:ptCount val="1"/>
                <c:pt idx="0">
                  <c:v>Rh 100 %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2!$AK$33:$BE$33</c:f>
              <c:numCache/>
            </c:numRef>
          </c:xVal>
          <c:yVal>
            <c:numRef>
              <c:f>2!$AK$12:$BE$12</c:f>
              <c:numCache/>
            </c:numRef>
          </c:yVal>
          <c:smooth val="1"/>
        </c:ser>
        <c:ser>
          <c:idx val="1"/>
          <c:order val="1"/>
          <c:tx>
            <c:strRef>
              <c:f>2!$AJ$14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2!$AK$33:$BE$33</c:f>
              <c:numCache/>
            </c:numRef>
          </c:xVal>
          <c:yVal>
            <c:numRef>
              <c:f>2!$AK$14:$BE$14</c:f>
              <c:numCache/>
            </c:numRef>
          </c:yVal>
          <c:smooth val="1"/>
        </c:ser>
        <c:ser>
          <c:idx val="2"/>
          <c:order val="2"/>
          <c:tx>
            <c:strRef>
              <c:f>2!$AJ$16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2!$AK$33:$BE$33</c:f>
              <c:numCache/>
            </c:numRef>
          </c:xVal>
          <c:yVal>
            <c:numRef>
              <c:f>2!$AK$16:$BE$16</c:f>
              <c:numCache/>
            </c:numRef>
          </c:yVal>
          <c:smooth val="1"/>
        </c:ser>
        <c:ser>
          <c:idx val="3"/>
          <c:order val="3"/>
          <c:tx>
            <c:strRef>
              <c:f>2!$AJ$18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2!$AK$33:$BE$33</c:f>
              <c:numCache/>
            </c:numRef>
          </c:xVal>
          <c:yVal>
            <c:numRef>
              <c:f>2!$AK$18:$BE$18</c:f>
              <c:numCache/>
            </c:numRef>
          </c:yVal>
          <c:smooth val="1"/>
        </c:ser>
        <c:ser>
          <c:idx val="4"/>
          <c:order val="4"/>
          <c:tx>
            <c:strRef>
              <c:f>2!$AJ$20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2!$AK$33:$BE$33</c:f>
              <c:numCache/>
            </c:numRef>
          </c:xVal>
          <c:yVal>
            <c:numRef>
              <c:f>2!$AK$20:$BE$20</c:f>
              <c:numCache/>
            </c:numRef>
          </c:yVal>
          <c:smooth val="1"/>
        </c:ser>
        <c:ser>
          <c:idx val="5"/>
          <c:order val="5"/>
          <c:tx>
            <c:strRef>
              <c:f>2!$AJ$22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2!$AK$33:$BE$33</c:f>
              <c:numCache/>
            </c:numRef>
          </c:xVal>
          <c:yVal>
            <c:numRef>
              <c:f>2!$AK$22:$BE$22</c:f>
              <c:numCache/>
            </c:numRef>
          </c:yVal>
          <c:smooth val="1"/>
        </c:ser>
        <c:ser>
          <c:idx val="6"/>
          <c:order val="6"/>
          <c:tx>
            <c:strRef>
              <c:f>2!$AJ$24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2!$AK$33:$BE$33</c:f>
              <c:numCache/>
            </c:numRef>
          </c:xVal>
          <c:yVal>
            <c:numRef>
              <c:f>2!$AK$24:$BE$24</c:f>
              <c:numCache/>
            </c:numRef>
          </c:yVal>
          <c:smooth val="1"/>
        </c:ser>
        <c:ser>
          <c:idx val="7"/>
          <c:order val="7"/>
          <c:tx>
            <c:strRef>
              <c:f>2!$AJ$26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2!$AK$33:$BE$33</c:f>
              <c:numCache/>
            </c:numRef>
          </c:xVal>
          <c:yVal>
            <c:numRef>
              <c:f>2!$AK$26:$BE$26</c:f>
              <c:numCache/>
            </c:numRef>
          </c:yVal>
          <c:smooth val="1"/>
        </c:ser>
        <c:ser>
          <c:idx val="8"/>
          <c:order val="8"/>
          <c:tx>
            <c:strRef>
              <c:f>2!$AJ$28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2!$AK$33:$BE$33</c:f>
              <c:numCache/>
            </c:numRef>
          </c:xVal>
          <c:yVal>
            <c:numRef>
              <c:f>2!$AK$28:$BE$28</c:f>
              <c:numCache/>
            </c:numRef>
          </c:yVal>
          <c:smooth val="1"/>
        </c:ser>
        <c:ser>
          <c:idx val="9"/>
          <c:order val="9"/>
          <c:tx>
            <c:strRef>
              <c:f>2!$AJ$30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2!$AK$33:$BE$33</c:f>
              <c:numCache/>
            </c:numRef>
          </c:xVal>
          <c:yVal>
            <c:numRef>
              <c:f>2!$AK$30:$BE$30</c:f>
              <c:numCache/>
            </c:numRef>
          </c:yVal>
          <c:smooth val="1"/>
        </c:ser>
        <c:ser>
          <c:idx val="10"/>
          <c:order val="10"/>
          <c:tx>
            <c:strRef>
              <c:f>2!$AJ$36</c:f>
              <c:strCache>
                <c:ptCount val="1"/>
                <c:pt idx="0">
                  <c:v>Process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2!$AJ$38:$AK$38</c:f>
              <c:numCache/>
            </c:numRef>
          </c:xVal>
          <c:yVal>
            <c:numRef>
              <c:f>2!$AJ$37:$AK$37</c:f>
              <c:numCache/>
            </c:numRef>
          </c:yVal>
          <c:smooth val="1"/>
        </c:ser>
        <c:axId val="28433365"/>
        <c:axId val="54573694"/>
      </c:scatterChart>
      <c:valAx>
        <c:axId val="28433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Dry Bulb Temp.  Td,  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4573694"/>
        <c:crosses val="autoZero"/>
        <c:crossBetween val="midCat"/>
        <c:dispUnits/>
      </c:valAx>
      <c:valAx>
        <c:axId val="54573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Humidity Ratio  W,  kg Moisture / kg Dry Air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8433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/>
              <a:t>Psychrometric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3!$AK$11</c:f>
              <c:strCache>
                <c:ptCount val="1"/>
                <c:pt idx="0">
                  <c:v>Rh 100 %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3!$AK$33:$BE$33</c:f>
              <c:numCache/>
            </c:numRef>
          </c:xVal>
          <c:yVal>
            <c:numRef>
              <c:f>3!$AK$12:$BE$12</c:f>
              <c:numCache/>
            </c:numRef>
          </c:yVal>
          <c:smooth val="1"/>
        </c:ser>
        <c:ser>
          <c:idx val="1"/>
          <c:order val="1"/>
          <c:tx>
            <c:strRef>
              <c:f>3!$AJ$14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3!$AK$33:$BE$33</c:f>
              <c:numCache/>
            </c:numRef>
          </c:xVal>
          <c:yVal>
            <c:numRef>
              <c:f>3!$AK$14:$BE$14</c:f>
              <c:numCache/>
            </c:numRef>
          </c:yVal>
          <c:smooth val="1"/>
        </c:ser>
        <c:ser>
          <c:idx val="2"/>
          <c:order val="2"/>
          <c:tx>
            <c:strRef>
              <c:f>3!$AJ$16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3!$AK$33:$BE$33</c:f>
              <c:numCache/>
            </c:numRef>
          </c:xVal>
          <c:yVal>
            <c:numRef>
              <c:f>3!$AK$16:$BE$16</c:f>
              <c:numCache/>
            </c:numRef>
          </c:yVal>
          <c:smooth val="1"/>
        </c:ser>
        <c:ser>
          <c:idx val="3"/>
          <c:order val="3"/>
          <c:tx>
            <c:strRef>
              <c:f>3!$AJ$18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3!$AK$33:$BE$33</c:f>
              <c:numCache/>
            </c:numRef>
          </c:xVal>
          <c:yVal>
            <c:numRef>
              <c:f>3!$AK$18:$BE$18</c:f>
              <c:numCache/>
            </c:numRef>
          </c:yVal>
          <c:smooth val="1"/>
        </c:ser>
        <c:ser>
          <c:idx val="4"/>
          <c:order val="4"/>
          <c:tx>
            <c:strRef>
              <c:f>3!$AJ$20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3!$AK$33:$BE$33</c:f>
              <c:numCache/>
            </c:numRef>
          </c:xVal>
          <c:yVal>
            <c:numRef>
              <c:f>3!$AK$20:$BE$20</c:f>
              <c:numCache/>
            </c:numRef>
          </c:yVal>
          <c:smooth val="1"/>
        </c:ser>
        <c:ser>
          <c:idx val="5"/>
          <c:order val="5"/>
          <c:tx>
            <c:strRef>
              <c:f>3!$AJ$22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3!$AK$33:$BE$33</c:f>
              <c:numCache/>
            </c:numRef>
          </c:xVal>
          <c:yVal>
            <c:numRef>
              <c:f>3!$AK$22:$BE$22</c:f>
              <c:numCache/>
            </c:numRef>
          </c:yVal>
          <c:smooth val="1"/>
        </c:ser>
        <c:ser>
          <c:idx val="6"/>
          <c:order val="6"/>
          <c:tx>
            <c:strRef>
              <c:f>3!$AJ$24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3!$AK$33:$BE$33</c:f>
              <c:numCache/>
            </c:numRef>
          </c:xVal>
          <c:yVal>
            <c:numRef>
              <c:f>3!$AK$24:$BE$24</c:f>
              <c:numCache/>
            </c:numRef>
          </c:yVal>
          <c:smooth val="1"/>
        </c:ser>
        <c:ser>
          <c:idx val="7"/>
          <c:order val="7"/>
          <c:tx>
            <c:strRef>
              <c:f>3!$AJ$26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3!$AK$33:$BE$33</c:f>
              <c:numCache/>
            </c:numRef>
          </c:xVal>
          <c:yVal>
            <c:numRef>
              <c:f>3!$AK$26:$BE$26</c:f>
              <c:numCache/>
            </c:numRef>
          </c:yVal>
          <c:smooth val="1"/>
        </c:ser>
        <c:ser>
          <c:idx val="8"/>
          <c:order val="8"/>
          <c:tx>
            <c:strRef>
              <c:f>3!$AJ$28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3!$AK$33:$BE$33</c:f>
              <c:numCache/>
            </c:numRef>
          </c:xVal>
          <c:yVal>
            <c:numRef>
              <c:f>3!$AK$28:$BE$28</c:f>
              <c:numCache/>
            </c:numRef>
          </c:yVal>
          <c:smooth val="1"/>
        </c:ser>
        <c:ser>
          <c:idx val="9"/>
          <c:order val="9"/>
          <c:tx>
            <c:strRef>
              <c:f>3!$AJ$30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3!$AK$33:$BE$33</c:f>
              <c:numCache/>
            </c:numRef>
          </c:xVal>
          <c:yVal>
            <c:numRef>
              <c:f>3!$AK$30:$BE$30</c:f>
              <c:numCache/>
            </c:numRef>
          </c:yVal>
          <c:smooth val="1"/>
        </c:ser>
        <c:ser>
          <c:idx val="10"/>
          <c:order val="10"/>
          <c:tx>
            <c:strRef>
              <c:f>3!$AJ$36</c:f>
              <c:strCache>
                <c:ptCount val="1"/>
                <c:pt idx="0">
                  <c:v>Process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3!$AJ$38:$AK$38</c:f>
              <c:numCache/>
            </c:numRef>
          </c:xVal>
          <c:yVal>
            <c:numRef>
              <c:f>3!$AJ$37:$AK$37</c:f>
              <c:numCache/>
            </c:numRef>
          </c:yVal>
          <c:smooth val="1"/>
        </c:ser>
        <c:axId val="21401199"/>
        <c:axId val="58393064"/>
      </c:scatterChart>
      <c:valAx>
        <c:axId val="21401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Dry Bulb Temp.  Td,  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393064"/>
        <c:crosses val="autoZero"/>
        <c:crossBetween val="midCat"/>
        <c:dispUnits/>
      </c:valAx>
      <c:valAx>
        <c:axId val="5839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Humidity Ratio  W,  kg Moisture / kg Dry Air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1401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/>
              <a:t>Psychrometric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4!$AK$11</c:f>
              <c:strCache>
                <c:ptCount val="1"/>
                <c:pt idx="0">
                  <c:v>Rh 100 %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4!$AK$33:$BE$33</c:f>
              <c:numCache/>
            </c:numRef>
          </c:xVal>
          <c:yVal>
            <c:numRef>
              <c:f>4!$AK$12:$BE$12</c:f>
              <c:numCache/>
            </c:numRef>
          </c:yVal>
          <c:smooth val="1"/>
        </c:ser>
        <c:ser>
          <c:idx val="1"/>
          <c:order val="1"/>
          <c:tx>
            <c:strRef>
              <c:f>4!$AJ$14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4!$AK$33:$BE$33</c:f>
              <c:numCache/>
            </c:numRef>
          </c:xVal>
          <c:yVal>
            <c:numRef>
              <c:f>4!$AK$14:$BE$14</c:f>
              <c:numCache/>
            </c:numRef>
          </c:yVal>
          <c:smooth val="1"/>
        </c:ser>
        <c:ser>
          <c:idx val="2"/>
          <c:order val="2"/>
          <c:tx>
            <c:strRef>
              <c:f>4!$AJ$16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4!$AK$33:$BE$33</c:f>
              <c:numCache/>
            </c:numRef>
          </c:xVal>
          <c:yVal>
            <c:numRef>
              <c:f>4!$AK$16:$BE$16</c:f>
              <c:numCache/>
            </c:numRef>
          </c:yVal>
          <c:smooth val="1"/>
        </c:ser>
        <c:ser>
          <c:idx val="3"/>
          <c:order val="3"/>
          <c:tx>
            <c:strRef>
              <c:f>4!$AJ$18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4!$AK$33:$BE$33</c:f>
              <c:numCache/>
            </c:numRef>
          </c:xVal>
          <c:yVal>
            <c:numRef>
              <c:f>4!$AK$18:$BE$18</c:f>
              <c:numCache/>
            </c:numRef>
          </c:yVal>
          <c:smooth val="1"/>
        </c:ser>
        <c:ser>
          <c:idx val="4"/>
          <c:order val="4"/>
          <c:tx>
            <c:strRef>
              <c:f>4!$AJ$20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4!$AK$33:$BE$33</c:f>
              <c:numCache/>
            </c:numRef>
          </c:xVal>
          <c:yVal>
            <c:numRef>
              <c:f>4!$AK$20:$BE$20</c:f>
              <c:numCache/>
            </c:numRef>
          </c:yVal>
          <c:smooth val="1"/>
        </c:ser>
        <c:ser>
          <c:idx val="5"/>
          <c:order val="5"/>
          <c:tx>
            <c:strRef>
              <c:f>4!$AJ$22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4!$AK$33:$BE$33</c:f>
              <c:numCache/>
            </c:numRef>
          </c:xVal>
          <c:yVal>
            <c:numRef>
              <c:f>4!$AK$22:$BE$22</c:f>
              <c:numCache/>
            </c:numRef>
          </c:yVal>
          <c:smooth val="1"/>
        </c:ser>
        <c:ser>
          <c:idx val="6"/>
          <c:order val="6"/>
          <c:tx>
            <c:strRef>
              <c:f>4!$AJ$24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4!$AK$33:$BE$33</c:f>
              <c:numCache/>
            </c:numRef>
          </c:xVal>
          <c:yVal>
            <c:numRef>
              <c:f>4!$AK$24:$BE$24</c:f>
              <c:numCache/>
            </c:numRef>
          </c:yVal>
          <c:smooth val="1"/>
        </c:ser>
        <c:ser>
          <c:idx val="7"/>
          <c:order val="7"/>
          <c:tx>
            <c:strRef>
              <c:f>4!$AJ$26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4!$AK$33:$BE$33</c:f>
              <c:numCache/>
            </c:numRef>
          </c:xVal>
          <c:yVal>
            <c:numRef>
              <c:f>4!$AK$26:$BE$26</c:f>
              <c:numCache/>
            </c:numRef>
          </c:yVal>
          <c:smooth val="1"/>
        </c:ser>
        <c:ser>
          <c:idx val="8"/>
          <c:order val="8"/>
          <c:tx>
            <c:strRef>
              <c:f>4!$AJ$28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4!$AK$33:$BE$33</c:f>
              <c:numCache/>
            </c:numRef>
          </c:xVal>
          <c:yVal>
            <c:numRef>
              <c:f>4!$AK$28:$BE$28</c:f>
              <c:numCache/>
            </c:numRef>
          </c:yVal>
          <c:smooth val="1"/>
        </c:ser>
        <c:ser>
          <c:idx val="9"/>
          <c:order val="9"/>
          <c:tx>
            <c:strRef>
              <c:f>4!$AJ$30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4!$AK$33:$BE$33</c:f>
              <c:numCache/>
            </c:numRef>
          </c:xVal>
          <c:yVal>
            <c:numRef>
              <c:f>4!$AK$30:$BE$30</c:f>
              <c:numCache/>
            </c:numRef>
          </c:yVal>
          <c:smooth val="1"/>
        </c:ser>
        <c:ser>
          <c:idx val="10"/>
          <c:order val="10"/>
          <c:tx>
            <c:strRef>
              <c:f>4!$AJ$36</c:f>
              <c:strCache>
                <c:ptCount val="1"/>
                <c:pt idx="0">
                  <c:v>Process 1-&gt;3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4!$AJ$38:$AK$38</c:f>
              <c:numCache/>
            </c:numRef>
          </c:xVal>
          <c:yVal>
            <c:numRef>
              <c:f>4!$AJ$37:$AK$37</c:f>
              <c:numCache/>
            </c:numRef>
          </c:yVal>
          <c:smooth val="1"/>
        </c:ser>
        <c:ser>
          <c:idx val="11"/>
          <c:order val="11"/>
          <c:tx>
            <c:strRef>
              <c:f>4!$AM$36</c:f>
              <c:strCache>
                <c:ptCount val="1"/>
                <c:pt idx="0">
                  <c:v>Process 2-&gt;3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4!$AM$38:$AN$38</c:f>
              <c:numCache/>
            </c:numRef>
          </c:xVal>
          <c:yVal>
            <c:numRef>
              <c:f>4!$AM$37:$AN$37</c:f>
              <c:numCache/>
            </c:numRef>
          </c:yVal>
          <c:smooth val="1"/>
        </c:ser>
        <c:axId val="55775529"/>
        <c:axId val="32217714"/>
      </c:scatterChart>
      <c:valAx>
        <c:axId val="55775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Dry Bulb Temp.  Td,  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217714"/>
        <c:crosses val="autoZero"/>
        <c:crossBetween val="midCat"/>
        <c:dispUnits/>
      </c:valAx>
      <c:valAx>
        <c:axId val="3221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Humidity Ratio  W,  kg Moisture / kg Dry Air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57755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/>
              <a:t>Psychrometric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5!$AK$11</c:f>
              <c:strCache>
                <c:ptCount val="1"/>
                <c:pt idx="0">
                  <c:v>Rh 100 %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5!$AK$33:$BE$33</c:f>
              <c:numCache/>
            </c:numRef>
          </c:xVal>
          <c:yVal>
            <c:numRef>
              <c:f>5!$AK$12:$BE$12</c:f>
              <c:numCache/>
            </c:numRef>
          </c:yVal>
          <c:smooth val="1"/>
        </c:ser>
        <c:ser>
          <c:idx val="1"/>
          <c:order val="1"/>
          <c:tx>
            <c:strRef>
              <c:f>5!$AJ$14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5!$AK$33:$BE$33</c:f>
              <c:numCache/>
            </c:numRef>
          </c:xVal>
          <c:yVal>
            <c:numRef>
              <c:f>5!$AK$14:$BE$14</c:f>
              <c:numCache/>
            </c:numRef>
          </c:yVal>
          <c:smooth val="1"/>
        </c:ser>
        <c:ser>
          <c:idx val="2"/>
          <c:order val="2"/>
          <c:tx>
            <c:strRef>
              <c:f>5!$AJ$16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5!$AK$33:$BE$33</c:f>
              <c:numCache/>
            </c:numRef>
          </c:xVal>
          <c:yVal>
            <c:numRef>
              <c:f>5!$AK$16:$BE$16</c:f>
              <c:numCache/>
            </c:numRef>
          </c:yVal>
          <c:smooth val="1"/>
        </c:ser>
        <c:ser>
          <c:idx val="3"/>
          <c:order val="3"/>
          <c:tx>
            <c:strRef>
              <c:f>5!$AJ$18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5!$AK$33:$BE$33</c:f>
              <c:numCache/>
            </c:numRef>
          </c:xVal>
          <c:yVal>
            <c:numRef>
              <c:f>5!$AK$18:$BE$18</c:f>
              <c:numCache/>
            </c:numRef>
          </c:yVal>
          <c:smooth val="1"/>
        </c:ser>
        <c:ser>
          <c:idx val="4"/>
          <c:order val="4"/>
          <c:tx>
            <c:strRef>
              <c:f>5!$AJ$20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5!$AK$33:$BE$33</c:f>
              <c:numCache/>
            </c:numRef>
          </c:xVal>
          <c:yVal>
            <c:numRef>
              <c:f>5!$AK$20:$BE$20</c:f>
              <c:numCache/>
            </c:numRef>
          </c:yVal>
          <c:smooth val="1"/>
        </c:ser>
        <c:ser>
          <c:idx val="5"/>
          <c:order val="5"/>
          <c:tx>
            <c:strRef>
              <c:f>5!$AJ$22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5!$AK$33:$BE$33</c:f>
              <c:numCache/>
            </c:numRef>
          </c:xVal>
          <c:yVal>
            <c:numRef>
              <c:f>5!$AK$22:$BE$22</c:f>
              <c:numCache/>
            </c:numRef>
          </c:yVal>
          <c:smooth val="1"/>
        </c:ser>
        <c:ser>
          <c:idx val="6"/>
          <c:order val="6"/>
          <c:tx>
            <c:strRef>
              <c:f>5!$AJ$24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5!$AK$33:$BE$33</c:f>
              <c:numCache/>
            </c:numRef>
          </c:xVal>
          <c:yVal>
            <c:numRef>
              <c:f>5!$AK$24:$BE$24</c:f>
              <c:numCache/>
            </c:numRef>
          </c:yVal>
          <c:smooth val="1"/>
        </c:ser>
        <c:ser>
          <c:idx val="7"/>
          <c:order val="7"/>
          <c:tx>
            <c:strRef>
              <c:f>5!$AJ$26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5!$AK$33:$BE$33</c:f>
              <c:numCache/>
            </c:numRef>
          </c:xVal>
          <c:yVal>
            <c:numRef>
              <c:f>5!$AK$26:$BE$26</c:f>
              <c:numCache/>
            </c:numRef>
          </c:yVal>
          <c:smooth val="1"/>
        </c:ser>
        <c:ser>
          <c:idx val="8"/>
          <c:order val="8"/>
          <c:tx>
            <c:strRef>
              <c:f>5!$AJ$28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5!$AK$33:$BE$33</c:f>
              <c:numCache/>
            </c:numRef>
          </c:xVal>
          <c:yVal>
            <c:numRef>
              <c:f>5!$AK$28:$BE$28</c:f>
              <c:numCache/>
            </c:numRef>
          </c:yVal>
          <c:smooth val="1"/>
        </c:ser>
        <c:ser>
          <c:idx val="9"/>
          <c:order val="9"/>
          <c:tx>
            <c:strRef>
              <c:f>5!$AJ$30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5!$AK$33:$BE$33</c:f>
              <c:numCache/>
            </c:numRef>
          </c:xVal>
          <c:yVal>
            <c:numRef>
              <c:f>5!$AK$30:$BE$30</c:f>
              <c:numCache/>
            </c:numRef>
          </c:yVal>
          <c:smooth val="1"/>
        </c:ser>
        <c:ser>
          <c:idx val="10"/>
          <c:order val="10"/>
          <c:tx>
            <c:strRef>
              <c:f>5!$AJ$36</c:f>
              <c:strCache>
                <c:ptCount val="1"/>
                <c:pt idx="0">
                  <c:v>Process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5!$AJ$38:$AK$38</c:f>
              <c:numCache/>
            </c:numRef>
          </c:xVal>
          <c:yVal>
            <c:numRef>
              <c:f>5!$AJ$37:$AK$37</c:f>
              <c:numCache/>
            </c:numRef>
          </c:yVal>
          <c:smooth val="1"/>
        </c:ser>
        <c:axId val="21523971"/>
        <c:axId val="59498012"/>
      </c:scatterChart>
      <c:valAx>
        <c:axId val="2152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Dry Bulb Temp.  Td,  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9498012"/>
        <c:crosses val="autoZero"/>
        <c:crossBetween val="midCat"/>
        <c:dispUnits/>
      </c:valAx>
      <c:valAx>
        <c:axId val="594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Humidity Ratio  W,  kg Moisture / kg Dry Air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1523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>
          <a:off x="800100" y="34671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28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800100" y="30956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800475" y="185737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15</xdr:col>
      <xdr:colOff>66675</xdr:colOff>
      <xdr:row>25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800100" y="1857375"/>
          <a:ext cx="2266950" cy="1238250"/>
        </a:xfrm>
        <a:custGeom>
          <a:pathLst>
            <a:path h="142" w="315">
              <a:moveTo>
                <a:pt x="0" y="142"/>
              </a:moveTo>
              <a:cubicBezTo>
                <a:pt x="53" y="135"/>
                <a:pt x="106" y="129"/>
                <a:pt x="148" y="116"/>
              </a:cubicBezTo>
              <a:cubicBezTo>
                <a:pt x="190" y="103"/>
                <a:pt x="226" y="83"/>
                <a:pt x="254" y="64"/>
              </a:cubicBezTo>
              <a:cubicBezTo>
                <a:pt x="282" y="45"/>
                <a:pt x="298" y="22"/>
                <a:pt x="31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76200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307657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28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2200275" y="29718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28</xdr:row>
      <xdr:rowOff>0</xdr:rowOff>
    </xdr:to>
    <xdr:sp>
      <xdr:nvSpPr>
        <xdr:cNvPr id="7" name="Line 9"/>
        <xdr:cNvSpPr>
          <a:spLocks/>
        </xdr:cNvSpPr>
      </xdr:nvSpPr>
      <xdr:spPr>
        <a:xfrm>
          <a:off x="3000375" y="29718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28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3400425" y="24765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2200275" y="29718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15</xdr:col>
      <xdr:colOff>0</xdr:colOff>
      <xdr:row>22</xdr:row>
      <xdr:rowOff>95250</xdr:rowOff>
    </xdr:to>
    <xdr:sp>
      <xdr:nvSpPr>
        <xdr:cNvPr id="10" name="Line 12"/>
        <xdr:cNvSpPr>
          <a:spLocks/>
        </xdr:cNvSpPr>
      </xdr:nvSpPr>
      <xdr:spPr>
        <a:xfrm flipH="1">
          <a:off x="2000250" y="2476500"/>
          <a:ext cx="10001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161925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11" name="Line 14"/>
        <xdr:cNvSpPr>
          <a:spLocks/>
        </xdr:cNvSpPr>
      </xdr:nvSpPr>
      <xdr:spPr>
        <a:xfrm flipH="1">
          <a:off x="2562225" y="247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2" name="Line 16"/>
        <xdr:cNvSpPr>
          <a:spLocks/>
        </xdr:cNvSpPr>
      </xdr:nvSpPr>
      <xdr:spPr>
        <a:xfrm>
          <a:off x="3400425" y="2476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0</xdr:rowOff>
    </xdr:from>
    <xdr:to>
      <xdr:col>15</xdr:col>
      <xdr:colOff>0</xdr:colOff>
      <xdr:row>22</xdr:row>
      <xdr:rowOff>76200</xdr:rowOff>
    </xdr:to>
    <xdr:sp>
      <xdr:nvSpPr>
        <xdr:cNvPr id="13" name="AutoShape 17"/>
        <xdr:cNvSpPr>
          <a:spLocks/>
        </xdr:cNvSpPr>
      </xdr:nvSpPr>
      <xdr:spPr>
        <a:xfrm>
          <a:off x="2047875" y="2476500"/>
          <a:ext cx="952500" cy="323850"/>
        </a:xfrm>
        <a:custGeom>
          <a:pathLst>
            <a:path h="38" w="110">
              <a:moveTo>
                <a:pt x="0" y="38"/>
              </a:moveTo>
              <a:cubicBezTo>
                <a:pt x="7" y="35"/>
                <a:pt x="14" y="32"/>
                <a:pt x="22" y="28"/>
              </a:cubicBezTo>
              <a:cubicBezTo>
                <a:pt x="30" y="24"/>
                <a:pt x="39" y="20"/>
                <a:pt x="48" y="16"/>
              </a:cubicBezTo>
              <a:cubicBezTo>
                <a:pt x="57" y="12"/>
                <a:pt x="66" y="8"/>
                <a:pt x="76" y="5"/>
              </a:cubicBezTo>
              <a:cubicBezTo>
                <a:pt x="86" y="2"/>
                <a:pt x="98" y="1"/>
                <a:pt x="110" y="0"/>
              </a:cubicBezTo>
            </a:path>
          </a:pathLst>
        </a:cu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76200</xdr:colOff>
      <xdr:row>20</xdr:row>
      <xdr:rowOff>95250</xdr:rowOff>
    </xdr:from>
    <xdr:to>
      <xdr:col>15</xdr:col>
      <xdr:colOff>0</xdr:colOff>
      <xdr:row>24</xdr:row>
      <xdr:rowOff>0</xdr:rowOff>
    </xdr:to>
    <xdr:sp>
      <xdr:nvSpPr>
        <xdr:cNvPr id="14" name="Line 18"/>
        <xdr:cNvSpPr>
          <a:spLocks/>
        </xdr:cNvSpPr>
      </xdr:nvSpPr>
      <xdr:spPr>
        <a:xfrm flipH="1" flipV="1">
          <a:off x="2476500" y="2571750"/>
          <a:ext cx="523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31</xdr:row>
      <xdr:rowOff>66675</xdr:rowOff>
    </xdr:from>
    <xdr:to>
      <xdr:col>4</xdr:col>
      <xdr:colOff>171450</xdr:colOff>
      <xdr:row>31</xdr:row>
      <xdr:rowOff>66675</xdr:rowOff>
    </xdr:to>
    <xdr:sp>
      <xdr:nvSpPr>
        <xdr:cNvPr id="15" name="Line 45"/>
        <xdr:cNvSpPr>
          <a:spLocks/>
        </xdr:cNvSpPr>
      </xdr:nvSpPr>
      <xdr:spPr>
        <a:xfrm>
          <a:off x="828675" y="3905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57150</xdr:colOff>
      <xdr:row>20</xdr:row>
      <xdr:rowOff>0</xdr:rowOff>
    </xdr:from>
    <xdr:to>
      <xdr:col>16</xdr:col>
      <xdr:colOff>133350</xdr:colOff>
      <xdr:row>20</xdr:row>
      <xdr:rowOff>0</xdr:rowOff>
    </xdr:to>
    <xdr:sp>
      <xdr:nvSpPr>
        <xdr:cNvPr id="16" name="Line 48"/>
        <xdr:cNvSpPr>
          <a:spLocks/>
        </xdr:cNvSpPr>
      </xdr:nvSpPr>
      <xdr:spPr>
        <a:xfrm flipV="1">
          <a:off x="3057525" y="2476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66675</xdr:rowOff>
    </xdr:from>
    <xdr:to>
      <xdr:col>4</xdr:col>
      <xdr:colOff>171450</xdr:colOff>
      <xdr:row>32</xdr:row>
      <xdr:rowOff>66675</xdr:rowOff>
    </xdr:to>
    <xdr:sp>
      <xdr:nvSpPr>
        <xdr:cNvPr id="17" name="Line 51"/>
        <xdr:cNvSpPr>
          <a:spLocks/>
        </xdr:cNvSpPr>
      </xdr:nvSpPr>
      <xdr:spPr>
        <a:xfrm>
          <a:off x="828675" y="4029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66675</xdr:rowOff>
    </xdr:from>
    <xdr:to>
      <xdr:col>4</xdr:col>
      <xdr:colOff>171450</xdr:colOff>
      <xdr:row>33</xdr:row>
      <xdr:rowOff>66675</xdr:rowOff>
    </xdr:to>
    <xdr:sp>
      <xdr:nvSpPr>
        <xdr:cNvPr id="18" name="Line 58"/>
        <xdr:cNvSpPr>
          <a:spLocks/>
        </xdr:cNvSpPr>
      </xdr:nvSpPr>
      <xdr:spPr>
        <a:xfrm>
          <a:off x="828675" y="4152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34</xdr:row>
      <xdr:rowOff>66675</xdr:rowOff>
    </xdr:from>
    <xdr:to>
      <xdr:col>4</xdr:col>
      <xdr:colOff>171450</xdr:colOff>
      <xdr:row>34</xdr:row>
      <xdr:rowOff>66675</xdr:rowOff>
    </xdr:to>
    <xdr:sp>
      <xdr:nvSpPr>
        <xdr:cNvPr id="19" name="Line 61"/>
        <xdr:cNvSpPr>
          <a:spLocks/>
        </xdr:cNvSpPr>
      </xdr:nvSpPr>
      <xdr:spPr>
        <a:xfrm>
          <a:off x="828675" y="4276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28575</xdr:colOff>
      <xdr:row>36</xdr:row>
      <xdr:rowOff>66675</xdr:rowOff>
    </xdr:from>
    <xdr:to>
      <xdr:col>8</xdr:col>
      <xdr:colOff>171450</xdr:colOff>
      <xdr:row>36</xdr:row>
      <xdr:rowOff>66675</xdr:rowOff>
    </xdr:to>
    <xdr:sp>
      <xdr:nvSpPr>
        <xdr:cNvPr id="20" name="Line 67"/>
        <xdr:cNvSpPr>
          <a:spLocks/>
        </xdr:cNvSpPr>
      </xdr:nvSpPr>
      <xdr:spPr>
        <a:xfrm>
          <a:off x="1628775" y="4524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66675</xdr:rowOff>
    </xdr:from>
    <xdr:to>
      <xdr:col>10</xdr:col>
      <xdr:colOff>171450</xdr:colOff>
      <xdr:row>36</xdr:row>
      <xdr:rowOff>66675</xdr:rowOff>
    </xdr:to>
    <xdr:sp>
      <xdr:nvSpPr>
        <xdr:cNvPr id="21" name="Line 70"/>
        <xdr:cNvSpPr>
          <a:spLocks/>
        </xdr:cNvSpPr>
      </xdr:nvSpPr>
      <xdr:spPr>
        <a:xfrm>
          <a:off x="2028825" y="4524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40</xdr:row>
      <xdr:rowOff>66675</xdr:rowOff>
    </xdr:from>
    <xdr:to>
      <xdr:col>4</xdr:col>
      <xdr:colOff>171450</xdr:colOff>
      <xdr:row>40</xdr:row>
      <xdr:rowOff>66675</xdr:rowOff>
    </xdr:to>
    <xdr:sp>
      <xdr:nvSpPr>
        <xdr:cNvPr id="22" name="Line 77"/>
        <xdr:cNvSpPr>
          <a:spLocks/>
        </xdr:cNvSpPr>
      </xdr:nvSpPr>
      <xdr:spPr>
        <a:xfrm>
          <a:off x="828675" y="5019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66675</xdr:rowOff>
    </xdr:from>
    <xdr:to>
      <xdr:col>4</xdr:col>
      <xdr:colOff>171450</xdr:colOff>
      <xdr:row>41</xdr:row>
      <xdr:rowOff>66675</xdr:rowOff>
    </xdr:to>
    <xdr:sp>
      <xdr:nvSpPr>
        <xdr:cNvPr id="23" name="Line 80"/>
        <xdr:cNvSpPr>
          <a:spLocks/>
        </xdr:cNvSpPr>
      </xdr:nvSpPr>
      <xdr:spPr>
        <a:xfrm>
          <a:off x="828675" y="5143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39</xdr:row>
      <xdr:rowOff>66675</xdr:rowOff>
    </xdr:from>
    <xdr:to>
      <xdr:col>4</xdr:col>
      <xdr:colOff>171450</xdr:colOff>
      <xdr:row>39</xdr:row>
      <xdr:rowOff>66675</xdr:rowOff>
    </xdr:to>
    <xdr:sp>
      <xdr:nvSpPr>
        <xdr:cNvPr id="24" name="Line 104"/>
        <xdr:cNvSpPr>
          <a:spLocks/>
        </xdr:cNvSpPr>
      </xdr:nvSpPr>
      <xdr:spPr>
        <a:xfrm>
          <a:off x="828675" y="4895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114300</xdr:rowOff>
    </xdr:from>
    <xdr:to>
      <xdr:col>9</xdr:col>
      <xdr:colOff>0</xdr:colOff>
      <xdr:row>42</xdr:row>
      <xdr:rowOff>114300</xdr:rowOff>
    </xdr:to>
    <xdr:sp>
      <xdr:nvSpPr>
        <xdr:cNvPr id="25" name="Rectangle 113"/>
        <xdr:cNvSpPr>
          <a:spLocks/>
        </xdr:cNvSpPr>
      </xdr:nvSpPr>
      <xdr:spPr>
        <a:xfrm>
          <a:off x="1600200" y="5191125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돋움"/>
              <a:ea typeface="돋움"/>
              <a:cs typeface="돋움"/>
            </a:rPr>
            <a:t>⑥</a:t>
          </a:r>
        </a:p>
      </xdr:txBody>
    </xdr:sp>
    <xdr:clientData/>
  </xdr:twoCellAnchor>
  <xdr:twoCellAnchor>
    <xdr:from>
      <xdr:col>4</xdr:col>
      <xdr:colOff>28575</xdr:colOff>
      <xdr:row>44</xdr:row>
      <xdr:rowOff>66675</xdr:rowOff>
    </xdr:from>
    <xdr:to>
      <xdr:col>4</xdr:col>
      <xdr:colOff>171450</xdr:colOff>
      <xdr:row>44</xdr:row>
      <xdr:rowOff>66675</xdr:rowOff>
    </xdr:to>
    <xdr:sp>
      <xdr:nvSpPr>
        <xdr:cNvPr id="26" name="Line 117"/>
        <xdr:cNvSpPr>
          <a:spLocks/>
        </xdr:cNvSpPr>
      </xdr:nvSpPr>
      <xdr:spPr>
        <a:xfrm>
          <a:off x="828675" y="5514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46</xdr:row>
      <xdr:rowOff>66675</xdr:rowOff>
    </xdr:from>
    <xdr:to>
      <xdr:col>4</xdr:col>
      <xdr:colOff>171450</xdr:colOff>
      <xdr:row>46</xdr:row>
      <xdr:rowOff>66675</xdr:rowOff>
    </xdr:to>
    <xdr:sp>
      <xdr:nvSpPr>
        <xdr:cNvPr id="27" name="Line 120"/>
        <xdr:cNvSpPr>
          <a:spLocks/>
        </xdr:cNvSpPr>
      </xdr:nvSpPr>
      <xdr:spPr>
        <a:xfrm>
          <a:off x="828675" y="5762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57150</xdr:rowOff>
    </xdr:from>
    <xdr:to>
      <xdr:col>15</xdr:col>
      <xdr:colOff>0</xdr:colOff>
      <xdr:row>24</xdr:row>
      <xdr:rowOff>0</xdr:rowOff>
    </xdr:to>
    <xdr:sp>
      <xdr:nvSpPr>
        <xdr:cNvPr id="28" name="Line 125"/>
        <xdr:cNvSpPr>
          <a:spLocks/>
        </xdr:cNvSpPr>
      </xdr:nvSpPr>
      <xdr:spPr>
        <a:xfrm flipV="1">
          <a:off x="3000375" y="2533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38100</xdr:colOff>
      <xdr:row>20</xdr:row>
      <xdr:rowOff>38100</xdr:rowOff>
    </xdr:from>
    <xdr:to>
      <xdr:col>16</xdr:col>
      <xdr:colOff>171450</xdr:colOff>
      <xdr:row>21</xdr:row>
      <xdr:rowOff>76200</xdr:rowOff>
    </xdr:to>
    <xdr:sp>
      <xdr:nvSpPr>
        <xdr:cNvPr id="29" name="Line 126"/>
        <xdr:cNvSpPr>
          <a:spLocks/>
        </xdr:cNvSpPr>
      </xdr:nvSpPr>
      <xdr:spPr>
        <a:xfrm flipV="1">
          <a:off x="3238500" y="251460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114300</xdr:rowOff>
    </xdr:from>
    <xdr:to>
      <xdr:col>12</xdr:col>
      <xdr:colOff>28575</xdr:colOff>
      <xdr:row>24</xdr:row>
      <xdr:rowOff>0</xdr:rowOff>
    </xdr:to>
    <xdr:sp>
      <xdr:nvSpPr>
        <xdr:cNvPr id="30" name="Line 127"/>
        <xdr:cNvSpPr>
          <a:spLocks/>
        </xdr:cNvSpPr>
      </xdr:nvSpPr>
      <xdr:spPr>
        <a:xfrm flipV="1">
          <a:off x="2200275" y="2590800"/>
          <a:ext cx="228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38100</xdr:rowOff>
    </xdr:from>
    <xdr:to>
      <xdr:col>15</xdr:col>
      <xdr:colOff>171450</xdr:colOff>
      <xdr:row>24</xdr:row>
      <xdr:rowOff>0</xdr:rowOff>
    </xdr:to>
    <xdr:sp>
      <xdr:nvSpPr>
        <xdr:cNvPr id="31" name="Line 128"/>
        <xdr:cNvSpPr>
          <a:spLocks/>
        </xdr:cNvSpPr>
      </xdr:nvSpPr>
      <xdr:spPr>
        <a:xfrm flipV="1">
          <a:off x="3000375" y="2762250"/>
          <a:ext cx="1714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32" name="Rectangle 131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33" name="AutoShape 133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14</xdr:col>
      <xdr:colOff>142875</xdr:colOff>
      <xdr:row>19</xdr:row>
      <xdr:rowOff>66675</xdr:rowOff>
    </xdr:from>
    <xdr:to>
      <xdr:col>15</xdr:col>
      <xdr:colOff>57150</xdr:colOff>
      <xdr:row>20</xdr:row>
      <xdr:rowOff>57150</xdr:rowOff>
    </xdr:to>
    <xdr:sp>
      <xdr:nvSpPr>
        <xdr:cNvPr id="34" name="Oval 146"/>
        <xdr:cNvSpPr>
          <a:spLocks/>
        </xdr:cNvSpPr>
      </xdr:nvSpPr>
      <xdr:spPr>
        <a:xfrm>
          <a:off x="2943225" y="24193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16</xdr:col>
      <xdr:colOff>142875</xdr:colOff>
      <xdr:row>19</xdr:row>
      <xdr:rowOff>57150</xdr:rowOff>
    </xdr:from>
    <xdr:to>
      <xdr:col>17</xdr:col>
      <xdr:colOff>57150</xdr:colOff>
      <xdr:row>20</xdr:row>
      <xdr:rowOff>47625</xdr:rowOff>
    </xdr:to>
    <xdr:sp>
      <xdr:nvSpPr>
        <xdr:cNvPr id="35" name="Oval 147"/>
        <xdr:cNvSpPr>
          <a:spLocks/>
        </xdr:cNvSpPr>
      </xdr:nvSpPr>
      <xdr:spPr>
        <a:xfrm>
          <a:off x="3343275" y="24098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12</xdr:col>
      <xdr:colOff>104775</xdr:colOff>
      <xdr:row>19</xdr:row>
      <xdr:rowOff>57150</xdr:rowOff>
    </xdr:from>
    <xdr:to>
      <xdr:col>13</xdr:col>
      <xdr:colOff>19050</xdr:colOff>
      <xdr:row>20</xdr:row>
      <xdr:rowOff>47625</xdr:rowOff>
    </xdr:to>
    <xdr:sp>
      <xdr:nvSpPr>
        <xdr:cNvPr id="36" name="Oval 148"/>
        <xdr:cNvSpPr>
          <a:spLocks/>
        </xdr:cNvSpPr>
      </xdr:nvSpPr>
      <xdr:spPr>
        <a:xfrm>
          <a:off x="2505075" y="24098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11</xdr:col>
      <xdr:colOff>171450</xdr:colOff>
      <xdr:row>20</xdr:row>
      <xdr:rowOff>0</xdr:rowOff>
    </xdr:from>
    <xdr:to>
      <xdr:col>12</xdr:col>
      <xdr:colOff>85725</xdr:colOff>
      <xdr:row>20</xdr:row>
      <xdr:rowOff>114300</xdr:rowOff>
    </xdr:to>
    <xdr:sp>
      <xdr:nvSpPr>
        <xdr:cNvPr id="37" name="Oval 149"/>
        <xdr:cNvSpPr>
          <a:spLocks/>
        </xdr:cNvSpPr>
      </xdr:nvSpPr>
      <xdr:spPr>
        <a:xfrm>
          <a:off x="2371725" y="24765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6</a:t>
          </a:r>
        </a:p>
      </xdr:txBody>
    </xdr:sp>
    <xdr:clientData/>
  </xdr:twoCellAnchor>
  <xdr:twoCellAnchor>
    <xdr:from>
      <xdr:col>9</xdr:col>
      <xdr:colOff>142875</xdr:colOff>
      <xdr:row>22</xdr:row>
      <xdr:rowOff>19050</xdr:rowOff>
    </xdr:from>
    <xdr:to>
      <xdr:col>10</xdr:col>
      <xdr:colOff>57150</xdr:colOff>
      <xdr:row>23</xdr:row>
      <xdr:rowOff>9525</xdr:rowOff>
    </xdr:to>
    <xdr:sp>
      <xdr:nvSpPr>
        <xdr:cNvPr id="38" name="Oval 150"/>
        <xdr:cNvSpPr>
          <a:spLocks/>
        </xdr:cNvSpPr>
      </xdr:nvSpPr>
      <xdr:spPr>
        <a:xfrm>
          <a:off x="1943100" y="27432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15</xdr:col>
      <xdr:colOff>142875</xdr:colOff>
      <xdr:row>21</xdr:row>
      <xdr:rowOff>57150</xdr:rowOff>
    </xdr:from>
    <xdr:to>
      <xdr:col>16</xdr:col>
      <xdr:colOff>57150</xdr:colOff>
      <xdr:row>22</xdr:row>
      <xdr:rowOff>47625</xdr:rowOff>
    </xdr:to>
    <xdr:sp>
      <xdr:nvSpPr>
        <xdr:cNvPr id="39" name="Oval 151"/>
        <xdr:cNvSpPr>
          <a:spLocks/>
        </xdr:cNvSpPr>
      </xdr:nvSpPr>
      <xdr:spPr>
        <a:xfrm>
          <a:off x="3143250" y="26574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10</xdr:col>
      <xdr:colOff>142875</xdr:colOff>
      <xdr:row>23</xdr:row>
      <xdr:rowOff>66675</xdr:rowOff>
    </xdr:from>
    <xdr:to>
      <xdr:col>11</xdr:col>
      <xdr:colOff>57150</xdr:colOff>
      <xdr:row>24</xdr:row>
      <xdr:rowOff>57150</xdr:rowOff>
    </xdr:to>
    <xdr:sp>
      <xdr:nvSpPr>
        <xdr:cNvPr id="40" name="Oval 152"/>
        <xdr:cNvSpPr>
          <a:spLocks/>
        </xdr:cNvSpPr>
      </xdr:nvSpPr>
      <xdr:spPr>
        <a:xfrm>
          <a:off x="2143125" y="29146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8</a:t>
          </a:r>
        </a:p>
      </xdr:txBody>
    </xdr:sp>
    <xdr:clientData/>
  </xdr:twoCellAnchor>
  <xdr:twoCellAnchor>
    <xdr:from>
      <xdr:col>14</xdr:col>
      <xdr:colOff>142875</xdr:colOff>
      <xdr:row>23</xdr:row>
      <xdr:rowOff>66675</xdr:rowOff>
    </xdr:from>
    <xdr:to>
      <xdr:col>15</xdr:col>
      <xdr:colOff>57150</xdr:colOff>
      <xdr:row>24</xdr:row>
      <xdr:rowOff>57150</xdr:rowOff>
    </xdr:to>
    <xdr:sp>
      <xdr:nvSpPr>
        <xdr:cNvPr id="41" name="Oval 153"/>
        <xdr:cNvSpPr>
          <a:spLocks/>
        </xdr:cNvSpPr>
      </xdr:nvSpPr>
      <xdr:spPr>
        <a:xfrm>
          <a:off x="2943225" y="29146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5</a:t>
          </a:r>
        </a:p>
      </xdr:txBody>
    </xdr:sp>
    <xdr:clientData/>
  </xdr:twoCellAnchor>
  <xdr:twoCellAnchor>
    <xdr:from>
      <xdr:col>36</xdr:col>
      <xdr:colOff>38100</xdr:colOff>
      <xdr:row>17</xdr:row>
      <xdr:rowOff>9525</xdr:rowOff>
    </xdr:from>
    <xdr:to>
      <xdr:col>36</xdr:col>
      <xdr:colOff>152400</xdr:colOff>
      <xdr:row>18</xdr:row>
      <xdr:rowOff>0</xdr:rowOff>
    </xdr:to>
    <xdr:sp>
      <xdr:nvSpPr>
        <xdr:cNvPr id="42" name="Oval 154"/>
        <xdr:cNvSpPr>
          <a:spLocks/>
        </xdr:cNvSpPr>
      </xdr:nvSpPr>
      <xdr:spPr>
        <a:xfrm>
          <a:off x="7239000" y="21145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36</xdr:col>
      <xdr:colOff>38100</xdr:colOff>
      <xdr:row>18</xdr:row>
      <xdr:rowOff>9525</xdr:rowOff>
    </xdr:from>
    <xdr:to>
      <xdr:col>36</xdr:col>
      <xdr:colOff>152400</xdr:colOff>
      <xdr:row>19</xdr:row>
      <xdr:rowOff>0</xdr:rowOff>
    </xdr:to>
    <xdr:sp>
      <xdr:nvSpPr>
        <xdr:cNvPr id="43" name="Oval 155"/>
        <xdr:cNvSpPr>
          <a:spLocks/>
        </xdr:cNvSpPr>
      </xdr:nvSpPr>
      <xdr:spPr>
        <a:xfrm>
          <a:off x="7239000" y="22383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36</xdr:col>
      <xdr:colOff>38100</xdr:colOff>
      <xdr:row>19</xdr:row>
      <xdr:rowOff>9525</xdr:rowOff>
    </xdr:from>
    <xdr:to>
      <xdr:col>36</xdr:col>
      <xdr:colOff>152400</xdr:colOff>
      <xdr:row>20</xdr:row>
      <xdr:rowOff>0</xdr:rowOff>
    </xdr:to>
    <xdr:sp>
      <xdr:nvSpPr>
        <xdr:cNvPr id="44" name="Oval 156"/>
        <xdr:cNvSpPr>
          <a:spLocks/>
        </xdr:cNvSpPr>
      </xdr:nvSpPr>
      <xdr:spPr>
        <a:xfrm>
          <a:off x="7239000" y="23622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36</xdr:col>
      <xdr:colOff>38100</xdr:colOff>
      <xdr:row>20</xdr:row>
      <xdr:rowOff>9525</xdr:rowOff>
    </xdr:from>
    <xdr:to>
      <xdr:col>36</xdr:col>
      <xdr:colOff>152400</xdr:colOff>
      <xdr:row>21</xdr:row>
      <xdr:rowOff>0</xdr:rowOff>
    </xdr:to>
    <xdr:sp>
      <xdr:nvSpPr>
        <xdr:cNvPr id="45" name="Oval 157"/>
        <xdr:cNvSpPr>
          <a:spLocks/>
        </xdr:cNvSpPr>
      </xdr:nvSpPr>
      <xdr:spPr>
        <a:xfrm>
          <a:off x="7239000" y="24860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36</xdr:col>
      <xdr:colOff>38100</xdr:colOff>
      <xdr:row>21</xdr:row>
      <xdr:rowOff>9525</xdr:rowOff>
    </xdr:from>
    <xdr:to>
      <xdr:col>36</xdr:col>
      <xdr:colOff>152400</xdr:colOff>
      <xdr:row>22</xdr:row>
      <xdr:rowOff>0</xdr:rowOff>
    </xdr:to>
    <xdr:sp>
      <xdr:nvSpPr>
        <xdr:cNvPr id="46" name="Oval 158"/>
        <xdr:cNvSpPr>
          <a:spLocks/>
        </xdr:cNvSpPr>
      </xdr:nvSpPr>
      <xdr:spPr>
        <a:xfrm>
          <a:off x="7239000" y="26098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5</a:t>
          </a:r>
        </a:p>
      </xdr:txBody>
    </xdr:sp>
    <xdr:clientData/>
  </xdr:twoCellAnchor>
  <xdr:twoCellAnchor>
    <xdr:from>
      <xdr:col>36</xdr:col>
      <xdr:colOff>38100</xdr:colOff>
      <xdr:row>22</xdr:row>
      <xdr:rowOff>9525</xdr:rowOff>
    </xdr:from>
    <xdr:to>
      <xdr:col>36</xdr:col>
      <xdr:colOff>152400</xdr:colOff>
      <xdr:row>23</xdr:row>
      <xdr:rowOff>0</xdr:rowOff>
    </xdr:to>
    <xdr:sp>
      <xdr:nvSpPr>
        <xdr:cNvPr id="47" name="Oval 159"/>
        <xdr:cNvSpPr>
          <a:spLocks/>
        </xdr:cNvSpPr>
      </xdr:nvSpPr>
      <xdr:spPr>
        <a:xfrm>
          <a:off x="7239000" y="27336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6</a:t>
          </a:r>
        </a:p>
      </xdr:txBody>
    </xdr:sp>
    <xdr:clientData/>
  </xdr:twoCellAnchor>
  <xdr:twoCellAnchor>
    <xdr:from>
      <xdr:col>36</xdr:col>
      <xdr:colOff>38100</xdr:colOff>
      <xdr:row>23</xdr:row>
      <xdr:rowOff>9525</xdr:rowOff>
    </xdr:from>
    <xdr:to>
      <xdr:col>36</xdr:col>
      <xdr:colOff>152400</xdr:colOff>
      <xdr:row>24</xdr:row>
      <xdr:rowOff>0</xdr:rowOff>
    </xdr:to>
    <xdr:sp>
      <xdr:nvSpPr>
        <xdr:cNvPr id="48" name="Oval 160"/>
        <xdr:cNvSpPr>
          <a:spLocks/>
        </xdr:cNvSpPr>
      </xdr:nvSpPr>
      <xdr:spPr>
        <a:xfrm>
          <a:off x="7239000" y="28575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36</xdr:col>
      <xdr:colOff>38100</xdr:colOff>
      <xdr:row>24</xdr:row>
      <xdr:rowOff>9525</xdr:rowOff>
    </xdr:from>
    <xdr:to>
      <xdr:col>36</xdr:col>
      <xdr:colOff>152400</xdr:colOff>
      <xdr:row>25</xdr:row>
      <xdr:rowOff>0</xdr:rowOff>
    </xdr:to>
    <xdr:sp>
      <xdr:nvSpPr>
        <xdr:cNvPr id="49" name="Oval 161"/>
        <xdr:cNvSpPr>
          <a:spLocks/>
        </xdr:cNvSpPr>
      </xdr:nvSpPr>
      <xdr:spPr>
        <a:xfrm>
          <a:off x="7239000" y="29813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8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95250</xdr:rowOff>
    </xdr:to>
    <xdr:sp>
      <xdr:nvSpPr>
        <xdr:cNvPr id="50" name="Line 162"/>
        <xdr:cNvSpPr>
          <a:spLocks/>
        </xdr:cNvSpPr>
      </xdr:nvSpPr>
      <xdr:spPr>
        <a:xfrm>
          <a:off x="1000125" y="2971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9525</xdr:rowOff>
    </xdr:from>
    <xdr:to>
      <xdr:col>3</xdr:col>
      <xdr:colOff>152400</xdr:colOff>
      <xdr:row>32</xdr:row>
      <xdr:rowOff>0</xdr:rowOff>
    </xdr:to>
    <xdr:sp>
      <xdr:nvSpPr>
        <xdr:cNvPr id="51" name="Oval 163"/>
        <xdr:cNvSpPr>
          <a:spLocks/>
        </xdr:cNvSpPr>
      </xdr:nvSpPr>
      <xdr:spPr>
        <a:xfrm>
          <a:off x="638175" y="38481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3</xdr:col>
      <xdr:colOff>38100</xdr:colOff>
      <xdr:row>34</xdr:row>
      <xdr:rowOff>9525</xdr:rowOff>
    </xdr:from>
    <xdr:to>
      <xdr:col>3</xdr:col>
      <xdr:colOff>152400</xdr:colOff>
      <xdr:row>35</xdr:row>
      <xdr:rowOff>0</xdr:rowOff>
    </xdr:to>
    <xdr:sp>
      <xdr:nvSpPr>
        <xdr:cNvPr id="52" name="Oval 164"/>
        <xdr:cNvSpPr>
          <a:spLocks/>
        </xdr:cNvSpPr>
      </xdr:nvSpPr>
      <xdr:spPr>
        <a:xfrm>
          <a:off x="638175" y="42195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3</xdr:col>
      <xdr:colOff>38100</xdr:colOff>
      <xdr:row>32</xdr:row>
      <xdr:rowOff>9525</xdr:rowOff>
    </xdr:from>
    <xdr:to>
      <xdr:col>3</xdr:col>
      <xdr:colOff>152400</xdr:colOff>
      <xdr:row>33</xdr:row>
      <xdr:rowOff>0</xdr:rowOff>
    </xdr:to>
    <xdr:sp>
      <xdr:nvSpPr>
        <xdr:cNvPr id="53" name="Oval 165"/>
        <xdr:cNvSpPr>
          <a:spLocks/>
        </xdr:cNvSpPr>
      </xdr:nvSpPr>
      <xdr:spPr>
        <a:xfrm>
          <a:off x="638175" y="39719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3</xdr:col>
      <xdr:colOff>38100</xdr:colOff>
      <xdr:row>33</xdr:row>
      <xdr:rowOff>9525</xdr:rowOff>
    </xdr:from>
    <xdr:to>
      <xdr:col>3</xdr:col>
      <xdr:colOff>152400</xdr:colOff>
      <xdr:row>34</xdr:row>
      <xdr:rowOff>0</xdr:rowOff>
    </xdr:to>
    <xdr:sp>
      <xdr:nvSpPr>
        <xdr:cNvPr id="54" name="Oval 166"/>
        <xdr:cNvSpPr>
          <a:spLocks/>
        </xdr:cNvSpPr>
      </xdr:nvSpPr>
      <xdr:spPr>
        <a:xfrm>
          <a:off x="638175" y="40957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5</xdr:col>
      <xdr:colOff>38100</xdr:colOff>
      <xdr:row>31</xdr:row>
      <xdr:rowOff>9525</xdr:rowOff>
    </xdr:from>
    <xdr:to>
      <xdr:col>5</xdr:col>
      <xdr:colOff>152400</xdr:colOff>
      <xdr:row>32</xdr:row>
      <xdr:rowOff>0</xdr:rowOff>
    </xdr:to>
    <xdr:sp>
      <xdr:nvSpPr>
        <xdr:cNvPr id="55" name="Oval 167"/>
        <xdr:cNvSpPr>
          <a:spLocks/>
        </xdr:cNvSpPr>
      </xdr:nvSpPr>
      <xdr:spPr>
        <a:xfrm>
          <a:off x="1038225" y="38481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5</xdr:col>
      <xdr:colOff>38100</xdr:colOff>
      <xdr:row>32</xdr:row>
      <xdr:rowOff>9525</xdr:rowOff>
    </xdr:from>
    <xdr:to>
      <xdr:col>5</xdr:col>
      <xdr:colOff>152400</xdr:colOff>
      <xdr:row>33</xdr:row>
      <xdr:rowOff>0</xdr:rowOff>
    </xdr:to>
    <xdr:sp>
      <xdr:nvSpPr>
        <xdr:cNvPr id="56" name="Oval 168"/>
        <xdr:cNvSpPr>
          <a:spLocks/>
        </xdr:cNvSpPr>
      </xdr:nvSpPr>
      <xdr:spPr>
        <a:xfrm>
          <a:off x="1038225" y="39719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5</xdr:col>
      <xdr:colOff>38100</xdr:colOff>
      <xdr:row>33</xdr:row>
      <xdr:rowOff>9525</xdr:rowOff>
    </xdr:from>
    <xdr:to>
      <xdr:col>5</xdr:col>
      <xdr:colOff>152400</xdr:colOff>
      <xdr:row>34</xdr:row>
      <xdr:rowOff>0</xdr:rowOff>
    </xdr:to>
    <xdr:sp>
      <xdr:nvSpPr>
        <xdr:cNvPr id="57" name="Oval 169"/>
        <xdr:cNvSpPr>
          <a:spLocks/>
        </xdr:cNvSpPr>
      </xdr:nvSpPr>
      <xdr:spPr>
        <a:xfrm>
          <a:off x="1038225" y="40957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5</xdr:col>
      <xdr:colOff>38100</xdr:colOff>
      <xdr:row>34</xdr:row>
      <xdr:rowOff>9525</xdr:rowOff>
    </xdr:from>
    <xdr:to>
      <xdr:col>5</xdr:col>
      <xdr:colOff>152400</xdr:colOff>
      <xdr:row>35</xdr:row>
      <xdr:rowOff>0</xdr:rowOff>
    </xdr:to>
    <xdr:sp>
      <xdr:nvSpPr>
        <xdr:cNvPr id="58" name="Oval 170"/>
        <xdr:cNvSpPr>
          <a:spLocks/>
        </xdr:cNvSpPr>
      </xdr:nvSpPr>
      <xdr:spPr>
        <a:xfrm>
          <a:off x="1038225" y="42195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7</xdr:col>
      <xdr:colOff>38100</xdr:colOff>
      <xdr:row>36</xdr:row>
      <xdr:rowOff>9525</xdr:rowOff>
    </xdr:from>
    <xdr:to>
      <xdr:col>7</xdr:col>
      <xdr:colOff>152400</xdr:colOff>
      <xdr:row>37</xdr:row>
      <xdr:rowOff>0</xdr:rowOff>
    </xdr:to>
    <xdr:sp>
      <xdr:nvSpPr>
        <xdr:cNvPr id="59" name="Oval 171"/>
        <xdr:cNvSpPr>
          <a:spLocks/>
        </xdr:cNvSpPr>
      </xdr:nvSpPr>
      <xdr:spPr>
        <a:xfrm>
          <a:off x="1438275" y="4467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7</xdr:col>
      <xdr:colOff>38100</xdr:colOff>
      <xdr:row>37</xdr:row>
      <xdr:rowOff>9525</xdr:rowOff>
    </xdr:from>
    <xdr:to>
      <xdr:col>7</xdr:col>
      <xdr:colOff>152400</xdr:colOff>
      <xdr:row>38</xdr:row>
      <xdr:rowOff>0</xdr:rowOff>
    </xdr:to>
    <xdr:sp>
      <xdr:nvSpPr>
        <xdr:cNvPr id="60" name="Oval 172"/>
        <xdr:cNvSpPr>
          <a:spLocks/>
        </xdr:cNvSpPr>
      </xdr:nvSpPr>
      <xdr:spPr>
        <a:xfrm>
          <a:off x="1438275" y="45910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9</xdr:col>
      <xdr:colOff>38100</xdr:colOff>
      <xdr:row>36</xdr:row>
      <xdr:rowOff>9525</xdr:rowOff>
    </xdr:from>
    <xdr:to>
      <xdr:col>9</xdr:col>
      <xdr:colOff>152400</xdr:colOff>
      <xdr:row>37</xdr:row>
      <xdr:rowOff>0</xdr:rowOff>
    </xdr:to>
    <xdr:sp>
      <xdr:nvSpPr>
        <xdr:cNvPr id="61" name="Oval 173"/>
        <xdr:cNvSpPr>
          <a:spLocks/>
        </xdr:cNvSpPr>
      </xdr:nvSpPr>
      <xdr:spPr>
        <a:xfrm>
          <a:off x="1838325" y="4467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11</xdr:col>
      <xdr:colOff>38100</xdr:colOff>
      <xdr:row>36</xdr:row>
      <xdr:rowOff>9525</xdr:rowOff>
    </xdr:from>
    <xdr:to>
      <xdr:col>11</xdr:col>
      <xdr:colOff>152400</xdr:colOff>
      <xdr:row>37</xdr:row>
      <xdr:rowOff>0</xdr:rowOff>
    </xdr:to>
    <xdr:sp>
      <xdr:nvSpPr>
        <xdr:cNvPr id="62" name="Oval 174"/>
        <xdr:cNvSpPr>
          <a:spLocks/>
        </xdr:cNvSpPr>
      </xdr:nvSpPr>
      <xdr:spPr>
        <a:xfrm>
          <a:off x="2238375" y="4467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11</xdr:col>
      <xdr:colOff>38100</xdr:colOff>
      <xdr:row>37</xdr:row>
      <xdr:rowOff>9525</xdr:rowOff>
    </xdr:from>
    <xdr:to>
      <xdr:col>11</xdr:col>
      <xdr:colOff>152400</xdr:colOff>
      <xdr:row>38</xdr:row>
      <xdr:rowOff>0</xdr:rowOff>
    </xdr:to>
    <xdr:sp>
      <xdr:nvSpPr>
        <xdr:cNvPr id="63" name="Oval 175"/>
        <xdr:cNvSpPr>
          <a:spLocks/>
        </xdr:cNvSpPr>
      </xdr:nvSpPr>
      <xdr:spPr>
        <a:xfrm>
          <a:off x="2238375" y="45910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3</xdr:col>
      <xdr:colOff>38100</xdr:colOff>
      <xdr:row>39</xdr:row>
      <xdr:rowOff>9525</xdr:rowOff>
    </xdr:from>
    <xdr:to>
      <xdr:col>3</xdr:col>
      <xdr:colOff>152400</xdr:colOff>
      <xdr:row>40</xdr:row>
      <xdr:rowOff>0</xdr:rowOff>
    </xdr:to>
    <xdr:sp>
      <xdr:nvSpPr>
        <xdr:cNvPr id="64" name="Oval 176"/>
        <xdr:cNvSpPr>
          <a:spLocks/>
        </xdr:cNvSpPr>
      </xdr:nvSpPr>
      <xdr:spPr>
        <a:xfrm>
          <a:off x="638175" y="4838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5</a:t>
          </a:r>
        </a:p>
      </xdr:txBody>
    </xdr:sp>
    <xdr:clientData/>
  </xdr:twoCellAnchor>
  <xdr:twoCellAnchor>
    <xdr:from>
      <xdr:col>3</xdr:col>
      <xdr:colOff>38100</xdr:colOff>
      <xdr:row>40</xdr:row>
      <xdr:rowOff>9525</xdr:rowOff>
    </xdr:from>
    <xdr:to>
      <xdr:col>3</xdr:col>
      <xdr:colOff>152400</xdr:colOff>
      <xdr:row>41</xdr:row>
      <xdr:rowOff>0</xdr:rowOff>
    </xdr:to>
    <xdr:sp>
      <xdr:nvSpPr>
        <xdr:cNvPr id="65" name="Oval 177"/>
        <xdr:cNvSpPr>
          <a:spLocks/>
        </xdr:cNvSpPr>
      </xdr:nvSpPr>
      <xdr:spPr>
        <a:xfrm>
          <a:off x="638175" y="49625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5</a:t>
          </a:r>
        </a:p>
      </xdr:txBody>
    </xdr:sp>
    <xdr:clientData/>
  </xdr:twoCellAnchor>
  <xdr:twoCellAnchor>
    <xdr:from>
      <xdr:col>3</xdr:col>
      <xdr:colOff>38100</xdr:colOff>
      <xdr:row>41</xdr:row>
      <xdr:rowOff>9525</xdr:rowOff>
    </xdr:from>
    <xdr:to>
      <xdr:col>3</xdr:col>
      <xdr:colOff>152400</xdr:colOff>
      <xdr:row>42</xdr:row>
      <xdr:rowOff>0</xdr:rowOff>
    </xdr:to>
    <xdr:sp>
      <xdr:nvSpPr>
        <xdr:cNvPr id="66" name="Oval 178"/>
        <xdr:cNvSpPr>
          <a:spLocks/>
        </xdr:cNvSpPr>
      </xdr:nvSpPr>
      <xdr:spPr>
        <a:xfrm>
          <a:off x="638175" y="50863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5</a:t>
          </a:r>
        </a:p>
      </xdr:txBody>
    </xdr:sp>
    <xdr:clientData/>
  </xdr:twoCellAnchor>
  <xdr:twoCellAnchor>
    <xdr:from>
      <xdr:col>5</xdr:col>
      <xdr:colOff>38100</xdr:colOff>
      <xdr:row>39</xdr:row>
      <xdr:rowOff>9525</xdr:rowOff>
    </xdr:from>
    <xdr:to>
      <xdr:col>5</xdr:col>
      <xdr:colOff>152400</xdr:colOff>
      <xdr:row>40</xdr:row>
      <xdr:rowOff>0</xdr:rowOff>
    </xdr:to>
    <xdr:sp>
      <xdr:nvSpPr>
        <xdr:cNvPr id="67" name="Oval 179"/>
        <xdr:cNvSpPr>
          <a:spLocks/>
        </xdr:cNvSpPr>
      </xdr:nvSpPr>
      <xdr:spPr>
        <a:xfrm>
          <a:off x="1038225" y="4838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5</xdr:col>
      <xdr:colOff>38100</xdr:colOff>
      <xdr:row>40</xdr:row>
      <xdr:rowOff>9525</xdr:rowOff>
    </xdr:from>
    <xdr:to>
      <xdr:col>5</xdr:col>
      <xdr:colOff>152400</xdr:colOff>
      <xdr:row>41</xdr:row>
      <xdr:rowOff>0</xdr:rowOff>
    </xdr:to>
    <xdr:sp>
      <xdr:nvSpPr>
        <xdr:cNvPr id="68" name="Oval 180"/>
        <xdr:cNvSpPr>
          <a:spLocks/>
        </xdr:cNvSpPr>
      </xdr:nvSpPr>
      <xdr:spPr>
        <a:xfrm>
          <a:off x="1038225" y="49625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5</xdr:col>
      <xdr:colOff>38100</xdr:colOff>
      <xdr:row>41</xdr:row>
      <xdr:rowOff>9525</xdr:rowOff>
    </xdr:from>
    <xdr:to>
      <xdr:col>5</xdr:col>
      <xdr:colOff>152400</xdr:colOff>
      <xdr:row>42</xdr:row>
      <xdr:rowOff>0</xdr:rowOff>
    </xdr:to>
    <xdr:sp>
      <xdr:nvSpPr>
        <xdr:cNvPr id="69" name="Oval 181"/>
        <xdr:cNvSpPr>
          <a:spLocks/>
        </xdr:cNvSpPr>
      </xdr:nvSpPr>
      <xdr:spPr>
        <a:xfrm>
          <a:off x="1038225" y="50863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6</a:t>
          </a:r>
        </a:p>
      </xdr:txBody>
    </xdr:sp>
    <xdr:clientData/>
  </xdr:twoCellAnchor>
  <xdr:twoCellAnchor>
    <xdr:from>
      <xdr:col>3</xdr:col>
      <xdr:colOff>38100</xdr:colOff>
      <xdr:row>44</xdr:row>
      <xdr:rowOff>9525</xdr:rowOff>
    </xdr:from>
    <xdr:to>
      <xdr:col>3</xdr:col>
      <xdr:colOff>152400</xdr:colOff>
      <xdr:row>45</xdr:row>
      <xdr:rowOff>0</xdr:rowOff>
    </xdr:to>
    <xdr:sp>
      <xdr:nvSpPr>
        <xdr:cNvPr id="70" name="Oval 182"/>
        <xdr:cNvSpPr>
          <a:spLocks/>
        </xdr:cNvSpPr>
      </xdr:nvSpPr>
      <xdr:spPr>
        <a:xfrm>
          <a:off x="638175" y="54578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8</a:t>
          </a:r>
        </a:p>
      </xdr:txBody>
    </xdr:sp>
    <xdr:clientData/>
  </xdr:twoCellAnchor>
  <xdr:twoCellAnchor>
    <xdr:from>
      <xdr:col>5</xdr:col>
      <xdr:colOff>38100</xdr:colOff>
      <xdr:row>44</xdr:row>
      <xdr:rowOff>9525</xdr:rowOff>
    </xdr:from>
    <xdr:to>
      <xdr:col>5</xdr:col>
      <xdr:colOff>152400</xdr:colOff>
      <xdr:row>45</xdr:row>
      <xdr:rowOff>0</xdr:rowOff>
    </xdr:to>
    <xdr:sp>
      <xdr:nvSpPr>
        <xdr:cNvPr id="71" name="Oval 183"/>
        <xdr:cNvSpPr>
          <a:spLocks/>
        </xdr:cNvSpPr>
      </xdr:nvSpPr>
      <xdr:spPr>
        <a:xfrm>
          <a:off x="1038225" y="54578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6</a:t>
          </a:r>
        </a:p>
      </xdr:txBody>
    </xdr:sp>
    <xdr:clientData/>
  </xdr:twoCellAnchor>
  <xdr:twoCellAnchor>
    <xdr:from>
      <xdr:col>5</xdr:col>
      <xdr:colOff>38100</xdr:colOff>
      <xdr:row>46</xdr:row>
      <xdr:rowOff>9525</xdr:rowOff>
    </xdr:from>
    <xdr:to>
      <xdr:col>5</xdr:col>
      <xdr:colOff>152400</xdr:colOff>
      <xdr:row>47</xdr:row>
      <xdr:rowOff>0</xdr:rowOff>
    </xdr:to>
    <xdr:sp>
      <xdr:nvSpPr>
        <xdr:cNvPr id="72" name="Oval 184"/>
        <xdr:cNvSpPr>
          <a:spLocks/>
        </xdr:cNvSpPr>
      </xdr:nvSpPr>
      <xdr:spPr>
        <a:xfrm>
          <a:off x="1038225" y="57054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7</a:t>
          </a:r>
        </a:p>
      </xdr:txBody>
    </xdr:sp>
    <xdr:clientData/>
  </xdr:twoCellAnchor>
  <xdr:twoCellAnchor>
    <xdr:from>
      <xdr:col>1</xdr:col>
      <xdr:colOff>38100</xdr:colOff>
      <xdr:row>46</xdr:row>
      <xdr:rowOff>9525</xdr:rowOff>
    </xdr:from>
    <xdr:to>
      <xdr:col>1</xdr:col>
      <xdr:colOff>152400</xdr:colOff>
      <xdr:row>47</xdr:row>
      <xdr:rowOff>0</xdr:rowOff>
    </xdr:to>
    <xdr:sp>
      <xdr:nvSpPr>
        <xdr:cNvPr id="73" name="Oval 185"/>
        <xdr:cNvSpPr>
          <a:spLocks/>
        </xdr:cNvSpPr>
      </xdr:nvSpPr>
      <xdr:spPr>
        <a:xfrm>
          <a:off x="238125" y="57054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3</xdr:col>
      <xdr:colOff>38100</xdr:colOff>
      <xdr:row>46</xdr:row>
      <xdr:rowOff>9525</xdr:rowOff>
    </xdr:from>
    <xdr:to>
      <xdr:col>3</xdr:col>
      <xdr:colOff>152400</xdr:colOff>
      <xdr:row>47</xdr:row>
      <xdr:rowOff>0</xdr:rowOff>
    </xdr:to>
    <xdr:sp>
      <xdr:nvSpPr>
        <xdr:cNvPr id="74" name="Oval 186"/>
        <xdr:cNvSpPr>
          <a:spLocks/>
        </xdr:cNvSpPr>
      </xdr:nvSpPr>
      <xdr:spPr>
        <a:xfrm>
          <a:off x="638175" y="57054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33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00050" y="1114425"/>
        <a:ext cx="62007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1400175" y="5076825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1400175" y="5448300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66675</xdr:rowOff>
    </xdr:from>
    <xdr:to>
      <xdr:col>7</xdr:col>
      <xdr:colOff>0</xdr:colOff>
      <xdr:row>42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00150" y="526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66675</xdr:rowOff>
    </xdr:from>
    <xdr:to>
      <xdr:col>12</xdr:col>
      <xdr:colOff>0</xdr:colOff>
      <xdr:row>42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2200275" y="526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29</xdr:col>
      <xdr:colOff>0</xdr:colOff>
      <xdr:row>44</xdr:row>
      <xdr:rowOff>0</xdr:rowOff>
    </xdr:from>
    <xdr:to>
      <xdr:col>32</xdr:col>
      <xdr:colOff>0</xdr:colOff>
      <xdr:row>45</xdr:row>
      <xdr:rowOff>19050</xdr:rowOff>
    </xdr:to>
    <xdr:pic>
      <xdr:nvPicPr>
        <xdr:cNvPr id="6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5448300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0</xdr:colOff>
      <xdr:row>41</xdr:row>
      <xdr:rowOff>0</xdr:rowOff>
    </xdr:from>
    <xdr:to>
      <xdr:col>32</xdr:col>
      <xdr:colOff>0</xdr:colOff>
      <xdr:row>42</xdr:row>
      <xdr:rowOff>28575</xdr:rowOff>
    </xdr:to>
    <xdr:pic>
      <xdr:nvPicPr>
        <xdr:cNvPr id="7" name="Combo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5076825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8" name="Rectangle 19"/>
        <xdr:cNvSpPr>
          <a:spLocks/>
        </xdr:cNvSpPr>
      </xdr:nvSpPr>
      <xdr:spPr>
        <a:xfrm>
          <a:off x="7915275" y="371475"/>
          <a:ext cx="74295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8658225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>
      <xdr:nvSpPr>
        <xdr:cNvPr id="10" name="Line 23"/>
        <xdr:cNvSpPr>
          <a:spLocks/>
        </xdr:cNvSpPr>
      </xdr:nvSpPr>
      <xdr:spPr>
        <a:xfrm flipV="1">
          <a:off x="1600200" y="5448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>
      <xdr:nvSpPr>
        <xdr:cNvPr id="11" name="Line 24"/>
        <xdr:cNvSpPr>
          <a:spLocks/>
        </xdr:cNvSpPr>
      </xdr:nvSpPr>
      <xdr:spPr>
        <a:xfrm flipV="1">
          <a:off x="1600200" y="5200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95250</xdr:colOff>
      <xdr:row>42</xdr:row>
      <xdr:rowOff>57150</xdr:rowOff>
    </xdr:to>
    <xdr:sp>
      <xdr:nvSpPr>
        <xdr:cNvPr id="12" name="Line 25"/>
        <xdr:cNvSpPr>
          <a:spLocks/>
        </xdr:cNvSpPr>
      </xdr:nvSpPr>
      <xdr:spPr>
        <a:xfrm>
          <a:off x="1600200" y="520065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0</xdr:rowOff>
    </xdr:from>
    <xdr:to>
      <xdr:col>9</xdr:col>
      <xdr:colOff>0</xdr:colOff>
      <xdr:row>42</xdr:row>
      <xdr:rowOff>57150</xdr:rowOff>
    </xdr:to>
    <xdr:sp>
      <xdr:nvSpPr>
        <xdr:cNvPr id="13" name="Line 26"/>
        <xdr:cNvSpPr>
          <a:spLocks/>
        </xdr:cNvSpPr>
      </xdr:nvSpPr>
      <xdr:spPr>
        <a:xfrm flipH="1">
          <a:off x="1704975" y="520065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44</xdr:row>
      <xdr:rowOff>0</xdr:rowOff>
    </xdr:to>
    <xdr:sp>
      <xdr:nvSpPr>
        <xdr:cNvPr id="14" name="Line 27"/>
        <xdr:cNvSpPr>
          <a:spLocks/>
        </xdr:cNvSpPr>
      </xdr:nvSpPr>
      <xdr:spPr>
        <a:xfrm>
          <a:off x="1800225" y="5200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45</xdr:row>
      <xdr:rowOff>0</xdr:rowOff>
    </xdr:to>
    <xdr:sp>
      <xdr:nvSpPr>
        <xdr:cNvPr id="15" name="Line 28"/>
        <xdr:cNvSpPr>
          <a:spLocks/>
        </xdr:cNvSpPr>
      </xdr:nvSpPr>
      <xdr:spPr>
        <a:xfrm>
          <a:off x="1800225" y="5448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16" name="Line 30"/>
        <xdr:cNvSpPr>
          <a:spLocks/>
        </xdr:cNvSpPr>
      </xdr:nvSpPr>
      <xdr:spPr>
        <a:xfrm>
          <a:off x="1800225" y="532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33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00050" y="1114425"/>
        <a:ext cx="62007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1400175" y="5076825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1400175" y="5448300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66675</xdr:rowOff>
    </xdr:from>
    <xdr:to>
      <xdr:col>7</xdr:col>
      <xdr:colOff>0</xdr:colOff>
      <xdr:row>42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00150" y="526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66675</xdr:rowOff>
    </xdr:from>
    <xdr:to>
      <xdr:col>12</xdr:col>
      <xdr:colOff>0</xdr:colOff>
      <xdr:row>42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2200275" y="526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29</xdr:col>
      <xdr:colOff>0</xdr:colOff>
      <xdr:row>44</xdr:row>
      <xdr:rowOff>0</xdr:rowOff>
    </xdr:from>
    <xdr:to>
      <xdr:col>32</xdr:col>
      <xdr:colOff>0</xdr:colOff>
      <xdr:row>45</xdr:row>
      <xdr:rowOff>19050</xdr:rowOff>
    </xdr:to>
    <xdr:pic>
      <xdr:nvPicPr>
        <xdr:cNvPr id="6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5448300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0</xdr:colOff>
      <xdr:row>41</xdr:row>
      <xdr:rowOff>0</xdr:rowOff>
    </xdr:from>
    <xdr:to>
      <xdr:col>32</xdr:col>
      <xdr:colOff>0</xdr:colOff>
      <xdr:row>42</xdr:row>
      <xdr:rowOff>28575</xdr:rowOff>
    </xdr:to>
    <xdr:pic>
      <xdr:nvPicPr>
        <xdr:cNvPr id="7" name="Combo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5076825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45</xdr:row>
      <xdr:rowOff>0</xdr:rowOff>
    </xdr:to>
    <xdr:sp>
      <xdr:nvSpPr>
        <xdr:cNvPr id="8" name="Line 9"/>
        <xdr:cNvSpPr>
          <a:spLocks/>
        </xdr:cNvSpPr>
      </xdr:nvSpPr>
      <xdr:spPr>
        <a:xfrm>
          <a:off x="2000250" y="5448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915275" y="371475"/>
          <a:ext cx="74295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8658225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>
      <xdr:nvSpPr>
        <xdr:cNvPr id="11" name="Line 20"/>
        <xdr:cNvSpPr>
          <a:spLocks/>
        </xdr:cNvSpPr>
      </xdr:nvSpPr>
      <xdr:spPr>
        <a:xfrm flipV="1">
          <a:off x="1600200" y="5448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>
      <xdr:nvSpPr>
        <xdr:cNvPr id="12" name="Line 21"/>
        <xdr:cNvSpPr>
          <a:spLocks/>
        </xdr:cNvSpPr>
      </xdr:nvSpPr>
      <xdr:spPr>
        <a:xfrm flipV="1">
          <a:off x="1600200" y="5200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95250</xdr:colOff>
      <xdr:row>42</xdr:row>
      <xdr:rowOff>57150</xdr:rowOff>
    </xdr:to>
    <xdr:sp>
      <xdr:nvSpPr>
        <xdr:cNvPr id="13" name="Line 22"/>
        <xdr:cNvSpPr>
          <a:spLocks/>
        </xdr:cNvSpPr>
      </xdr:nvSpPr>
      <xdr:spPr>
        <a:xfrm>
          <a:off x="1600200" y="520065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104775</xdr:colOff>
      <xdr:row>42</xdr:row>
      <xdr:rowOff>0</xdr:rowOff>
    </xdr:from>
    <xdr:to>
      <xdr:col>9</xdr:col>
      <xdr:colOff>0</xdr:colOff>
      <xdr:row>42</xdr:row>
      <xdr:rowOff>57150</xdr:rowOff>
    </xdr:to>
    <xdr:sp>
      <xdr:nvSpPr>
        <xdr:cNvPr id="14" name="Line 23"/>
        <xdr:cNvSpPr>
          <a:spLocks/>
        </xdr:cNvSpPr>
      </xdr:nvSpPr>
      <xdr:spPr>
        <a:xfrm flipH="1">
          <a:off x="1704975" y="520065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44</xdr:row>
      <xdr:rowOff>0</xdr:rowOff>
    </xdr:to>
    <xdr:sp>
      <xdr:nvSpPr>
        <xdr:cNvPr id="15" name="Line 24"/>
        <xdr:cNvSpPr>
          <a:spLocks/>
        </xdr:cNvSpPr>
      </xdr:nvSpPr>
      <xdr:spPr>
        <a:xfrm>
          <a:off x="1800225" y="5200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45</xdr:row>
      <xdr:rowOff>0</xdr:rowOff>
    </xdr:to>
    <xdr:sp>
      <xdr:nvSpPr>
        <xdr:cNvPr id="16" name="Line 25"/>
        <xdr:cNvSpPr>
          <a:spLocks/>
        </xdr:cNvSpPr>
      </xdr:nvSpPr>
      <xdr:spPr>
        <a:xfrm>
          <a:off x="1800225" y="5448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" name="Line 26"/>
        <xdr:cNvSpPr>
          <a:spLocks/>
        </xdr:cNvSpPr>
      </xdr:nvSpPr>
      <xdr:spPr>
        <a:xfrm>
          <a:off x="1400175" y="532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33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00050" y="1114425"/>
        <a:ext cx="62007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00175" y="5324475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>
          <a:off x="1400175" y="569595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1200150" y="5324475"/>
          <a:ext cx="200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66675</xdr:rowOff>
    </xdr:from>
    <xdr:to>
      <xdr:col>9</xdr:col>
      <xdr:colOff>0</xdr:colOff>
      <xdr:row>44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1600200" y="5514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29</xdr:col>
      <xdr:colOff>0</xdr:colOff>
      <xdr:row>44</xdr:row>
      <xdr:rowOff>0</xdr:rowOff>
    </xdr:from>
    <xdr:to>
      <xdr:col>32</xdr:col>
      <xdr:colOff>0</xdr:colOff>
      <xdr:row>45</xdr:row>
      <xdr:rowOff>19050</xdr:rowOff>
    </xdr:to>
    <xdr:pic>
      <xdr:nvPicPr>
        <xdr:cNvPr id="6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5448300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0</xdr:colOff>
      <xdr:row>41</xdr:row>
      <xdr:rowOff>0</xdr:rowOff>
    </xdr:from>
    <xdr:to>
      <xdr:col>32</xdr:col>
      <xdr:colOff>0</xdr:colOff>
      <xdr:row>42</xdr:row>
      <xdr:rowOff>28575</xdr:rowOff>
    </xdr:to>
    <xdr:pic>
      <xdr:nvPicPr>
        <xdr:cNvPr id="7" name="Combo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5076825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48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1200150" y="5572125"/>
          <a:ext cx="200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7953375" y="371475"/>
          <a:ext cx="74295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8696325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33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00050" y="1114425"/>
        <a:ext cx="62007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1400175" y="5076825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1400175" y="5448300"/>
          <a:ext cx="80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66675</xdr:rowOff>
    </xdr:from>
    <xdr:to>
      <xdr:col>7</xdr:col>
      <xdr:colOff>0</xdr:colOff>
      <xdr:row>42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00150" y="526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66675</xdr:rowOff>
    </xdr:from>
    <xdr:to>
      <xdr:col>12</xdr:col>
      <xdr:colOff>0</xdr:colOff>
      <xdr:row>42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2200275" y="52673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800225" y="5448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29</xdr:col>
      <xdr:colOff>0</xdr:colOff>
      <xdr:row>44</xdr:row>
      <xdr:rowOff>0</xdr:rowOff>
    </xdr:from>
    <xdr:to>
      <xdr:col>32</xdr:col>
      <xdr:colOff>0</xdr:colOff>
      <xdr:row>45</xdr:row>
      <xdr:rowOff>19050</xdr:rowOff>
    </xdr:to>
    <xdr:pic>
      <xdr:nvPicPr>
        <xdr:cNvPr id="7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5448300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29</xdr:col>
      <xdr:colOff>0</xdr:colOff>
      <xdr:row>41</xdr:row>
      <xdr:rowOff>0</xdr:rowOff>
    </xdr:from>
    <xdr:to>
      <xdr:col>32</xdr:col>
      <xdr:colOff>0</xdr:colOff>
      <xdr:row>42</xdr:row>
      <xdr:rowOff>28575</xdr:rowOff>
    </xdr:to>
    <xdr:pic>
      <xdr:nvPicPr>
        <xdr:cNvPr id="8" name="ComboBo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5076825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41</xdr:row>
      <xdr:rowOff>85725</xdr:rowOff>
    </xdr:from>
    <xdr:to>
      <xdr:col>9</xdr:col>
      <xdr:colOff>0</xdr:colOff>
      <xdr:row>44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800225" y="5162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47625</xdr:rowOff>
    </xdr:from>
    <xdr:to>
      <xdr:col>9</xdr:col>
      <xdr:colOff>57150</xdr:colOff>
      <xdr:row>42</xdr:row>
      <xdr:rowOff>76200</xdr:rowOff>
    </xdr:to>
    <xdr:grpSp>
      <xdr:nvGrpSpPr>
        <xdr:cNvPr id="10" name="Group 13"/>
        <xdr:cNvGrpSpPr>
          <a:grpSpLocks/>
        </xdr:cNvGrpSpPr>
      </xdr:nvGrpSpPr>
      <xdr:grpSpPr>
        <a:xfrm>
          <a:off x="1800225" y="5248275"/>
          <a:ext cx="57150" cy="28575"/>
          <a:chOff x="189" y="468"/>
          <a:chExt cx="63" cy="26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 flipV="1">
            <a:off x="189" y="468"/>
            <a:ext cx="6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89" y="481"/>
            <a:ext cx="6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43</xdr:row>
      <xdr:rowOff>28575</xdr:rowOff>
    </xdr:from>
    <xdr:to>
      <xdr:col>9</xdr:col>
      <xdr:colOff>57150</xdr:colOff>
      <xdr:row>43</xdr:row>
      <xdr:rowOff>57150</xdr:rowOff>
    </xdr:to>
    <xdr:grpSp>
      <xdr:nvGrpSpPr>
        <xdr:cNvPr id="13" name="Group 14"/>
        <xdr:cNvGrpSpPr>
          <a:grpSpLocks/>
        </xdr:cNvGrpSpPr>
      </xdr:nvGrpSpPr>
      <xdr:grpSpPr>
        <a:xfrm>
          <a:off x="1800225" y="5353050"/>
          <a:ext cx="57150" cy="28575"/>
          <a:chOff x="189" y="468"/>
          <a:chExt cx="63" cy="26"/>
        </a:xfrm>
        <a:solidFill>
          <a:srgbClr val="FFFFFF"/>
        </a:solidFill>
      </xdr:grpSpPr>
      <xdr:sp>
        <xdr:nvSpPr>
          <xdr:cNvPr id="14" name="Line 15"/>
          <xdr:cNvSpPr>
            <a:spLocks/>
          </xdr:cNvSpPr>
        </xdr:nvSpPr>
        <xdr:spPr>
          <a:xfrm flipV="1">
            <a:off x="189" y="468"/>
            <a:ext cx="6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189" y="481"/>
            <a:ext cx="6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41</xdr:row>
      <xdr:rowOff>66675</xdr:rowOff>
    </xdr:from>
    <xdr:to>
      <xdr:col>9</xdr:col>
      <xdr:colOff>57150</xdr:colOff>
      <xdr:row>41</xdr:row>
      <xdr:rowOff>95250</xdr:rowOff>
    </xdr:to>
    <xdr:grpSp>
      <xdr:nvGrpSpPr>
        <xdr:cNvPr id="16" name="Group 17"/>
        <xdr:cNvGrpSpPr>
          <a:grpSpLocks/>
        </xdr:cNvGrpSpPr>
      </xdr:nvGrpSpPr>
      <xdr:grpSpPr>
        <a:xfrm>
          <a:off x="1800225" y="5143500"/>
          <a:ext cx="57150" cy="28575"/>
          <a:chOff x="189" y="468"/>
          <a:chExt cx="63" cy="26"/>
        </a:xfrm>
        <a:solidFill>
          <a:srgbClr val="FFFFFF"/>
        </a:solidFill>
      </xdr:grpSpPr>
      <xdr:sp>
        <xdr:nvSpPr>
          <xdr:cNvPr id="17" name="Line 18"/>
          <xdr:cNvSpPr>
            <a:spLocks/>
          </xdr:cNvSpPr>
        </xdr:nvSpPr>
        <xdr:spPr>
          <a:xfrm flipV="1">
            <a:off x="189" y="468"/>
            <a:ext cx="6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189" y="481"/>
            <a:ext cx="6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7915275" y="371475"/>
          <a:ext cx="74295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8658225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es.co.kr/" TargetMode="External" /><Relationship Id="rId2" Type="http://schemas.openxmlformats.org/officeDocument/2006/relationships/hyperlink" Target="mailto:ntes@ntes.co.k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63"/>
  <sheetViews>
    <sheetView view="pageBreakPreview" zoomScaleSheetLayoutView="100" workbookViewId="0" topLeftCell="A1">
      <selection activeCell="S3" sqref="S3"/>
    </sheetView>
  </sheetViews>
  <sheetFormatPr defaultColWidth="8.88671875" defaultRowHeight="13.5"/>
  <cols>
    <col min="1" max="52" width="3.77734375" style="2" customWidth="1"/>
    <col min="53" max="16384" width="8.88671875" style="2" customWidth="1"/>
  </cols>
  <sheetData>
    <row r="1" spans="1:21" ht="11.25" customHeight="1">
      <c r="A1" s="7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2</v>
      </c>
      <c r="P1" s="9"/>
      <c r="Q1" s="143" t="s">
        <v>224</v>
      </c>
      <c r="R1" s="143"/>
      <c r="S1" s="143"/>
      <c r="T1" s="143"/>
      <c r="U1" s="9"/>
    </row>
    <row r="2" spans="1:21" ht="11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35"/>
      <c r="P2" s="35"/>
      <c r="Q2" s="79"/>
      <c r="R2" s="79"/>
      <c r="S2" s="79"/>
      <c r="T2" s="79"/>
      <c r="U2" s="1"/>
    </row>
    <row r="3" spans="1:21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"/>
      <c r="P3" s="1"/>
      <c r="Q3" s="67"/>
      <c r="R3" s="67"/>
      <c r="S3" s="67"/>
      <c r="T3" s="67"/>
      <c r="U3" s="1"/>
    </row>
    <row r="4" spans="1:21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1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1.25" customHeight="1">
      <c r="A10" s="1"/>
      <c r="B10" s="1"/>
      <c r="C10" s="1"/>
      <c r="D10" s="1"/>
      <c r="E10" s="1"/>
      <c r="F10" s="150" t="s">
        <v>222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"/>
      <c r="Q10" s="1"/>
      <c r="R10" s="1"/>
      <c r="S10" s="1"/>
      <c r="T10" s="1"/>
      <c r="U10" s="1"/>
    </row>
    <row r="11" spans="1:21" ht="11.25" customHeight="1">
      <c r="A11" s="1"/>
      <c r="B11" s="1"/>
      <c r="C11" s="1"/>
      <c r="D11" s="1"/>
      <c r="E11" s="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"/>
      <c r="Q11" s="1"/>
      <c r="R11" s="1"/>
      <c r="S11" s="1"/>
      <c r="T11" s="1"/>
      <c r="U11" s="1"/>
    </row>
    <row r="12" spans="1:21" ht="11.25" customHeight="1">
      <c r="A12" s="1"/>
      <c r="B12" s="1"/>
      <c r="C12" s="1"/>
      <c r="D12" s="1"/>
      <c r="E12" s="1"/>
      <c r="F12" s="152" t="s">
        <v>223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"/>
      <c r="Q12" s="1"/>
      <c r="R12" s="1"/>
      <c r="S12" s="1"/>
      <c r="T12" s="1"/>
      <c r="U12" s="1"/>
    </row>
    <row r="13" spans="1:21" ht="11.25" customHeight="1" thickBot="1">
      <c r="A13" s="1"/>
      <c r="B13" s="1"/>
      <c r="C13" s="1"/>
      <c r="D13" s="1"/>
      <c r="E13" s="1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"/>
      <c r="Q13" s="1"/>
      <c r="R13" s="1"/>
      <c r="S13" s="1"/>
      <c r="T13" s="1"/>
      <c r="U13" s="1"/>
    </row>
    <row r="14" spans="1:21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1.25" customHeight="1">
      <c r="A15" s="1"/>
      <c r="B15" s="1"/>
      <c r="C15" s="1"/>
      <c r="D15" s="1"/>
      <c r="E15" s="1"/>
      <c r="F15" s="1"/>
      <c r="G15" s="80"/>
      <c r="H15" s="80"/>
      <c r="I15" s="80"/>
      <c r="J15" s="80"/>
      <c r="K15" s="80"/>
      <c r="L15" s="80"/>
      <c r="M15" s="80"/>
      <c r="N15" s="80"/>
      <c r="O15" s="1"/>
      <c r="P15" s="1"/>
      <c r="Q15" s="1"/>
      <c r="R15" s="1"/>
      <c r="S15" s="1"/>
      <c r="T15" s="1"/>
      <c r="U15" s="1"/>
    </row>
    <row r="16" spans="1:21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8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8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8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 t="s">
        <v>79</v>
      </c>
      <c r="P42" s="15">
        <f>sheetqty+2</f>
        <v>7</v>
      </c>
      <c r="Q42" s="1" t="s">
        <v>197</v>
      </c>
      <c r="R42" s="1"/>
      <c r="S42" s="1"/>
      <c r="T42" s="19"/>
      <c r="U42" s="1"/>
    </row>
    <row r="43" spans="1:21" ht="11.25" customHeight="1">
      <c r="A43" s="81">
        <v>5</v>
      </c>
      <c r="B43" s="162"/>
      <c r="C43" s="163"/>
      <c r="D43" s="32"/>
      <c r="E43" s="32"/>
      <c r="F43" s="32"/>
      <c r="G43" s="32"/>
      <c r="H43" s="32"/>
      <c r="I43" s="32"/>
      <c r="J43" s="32"/>
      <c r="K43" s="32"/>
      <c r="L43" s="32"/>
      <c r="M43" s="148"/>
      <c r="N43" s="147"/>
      <c r="O43" s="146"/>
      <c r="P43" s="147"/>
      <c r="Q43" s="146"/>
      <c r="R43" s="147"/>
      <c r="S43" s="148"/>
      <c r="T43" s="148"/>
      <c r="U43" s="1"/>
    </row>
    <row r="44" spans="1:21" ht="11.25" customHeight="1">
      <c r="A44" s="72">
        <v>4</v>
      </c>
      <c r="B44" s="159"/>
      <c r="C44" s="160"/>
      <c r="D44" s="17"/>
      <c r="E44" s="17"/>
      <c r="F44" s="17"/>
      <c r="G44" s="17"/>
      <c r="H44" s="17"/>
      <c r="I44" s="17"/>
      <c r="J44" s="17"/>
      <c r="K44" s="17"/>
      <c r="L44" s="17"/>
      <c r="M44" s="149"/>
      <c r="N44" s="145"/>
      <c r="O44" s="144"/>
      <c r="P44" s="145"/>
      <c r="Q44" s="144"/>
      <c r="R44" s="145"/>
      <c r="S44" s="149"/>
      <c r="T44" s="149"/>
      <c r="U44" s="1"/>
    </row>
    <row r="45" spans="1:21" ht="11.25" customHeight="1">
      <c r="A45" s="72">
        <v>3</v>
      </c>
      <c r="B45" s="159"/>
      <c r="C45" s="160"/>
      <c r="D45" s="17"/>
      <c r="E45" s="17"/>
      <c r="F45" s="17"/>
      <c r="G45" s="17"/>
      <c r="H45" s="17"/>
      <c r="I45" s="17"/>
      <c r="J45" s="17"/>
      <c r="K45" s="17"/>
      <c r="L45" s="17"/>
      <c r="M45" s="149"/>
      <c r="N45" s="145"/>
      <c r="O45" s="144"/>
      <c r="P45" s="145"/>
      <c r="Q45" s="144"/>
      <c r="R45" s="145"/>
      <c r="S45" s="149"/>
      <c r="T45" s="149"/>
      <c r="U45" s="1"/>
    </row>
    <row r="46" spans="1:21" ht="11.25" customHeight="1">
      <c r="A46" s="72">
        <v>2</v>
      </c>
      <c r="B46" s="159"/>
      <c r="C46" s="160"/>
      <c r="D46" s="17"/>
      <c r="E46" s="17"/>
      <c r="F46" s="17"/>
      <c r="G46" s="17"/>
      <c r="H46" s="17"/>
      <c r="I46" s="17"/>
      <c r="J46" s="17"/>
      <c r="K46" s="17"/>
      <c r="L46" s="17"/>
      <c r="M46" s="149"/>
      <c r="N46" s="145"/>
      <c r="O46" s="144"/>
      <c r="P46" s="145"/>
      <c r="Q46" s="144"/>
      <c r="R46" s="145"/>
      <c r="S46" s="149"/>
      <c r="T46" s="149"/>
      <c r="U46" s="1"/>
    </row>
    <row r="47" spans="1:21" ht="11.25" customHeight="1">
      <c r="A47" s="72">
        <v>1</v>
      </c>
      <c r="B47" s="159" t="s">
        <v>225</v>
      </c>
      <c r="C47" s="160"/>
      <c r="D47" s="17" t="s">
        <v>226</v>
      </c>
      <c r="E47" s="17"/>
      <c r="F47" s="17"/>
      <c r="G47" s="17"/>
      <c r="H47" s="17"/>
      <c r="I47" s="17"/>
      <c r="J47" s="17"/>
      <c r="K47" s="17"/>
      <c r="L47" s="17"/>
      <c r="M47" s="149"/>
      <c r="N47" s="145"/>
      <c r="O47" s="144" t="str">
        <f>O48</f>
        <v>S. J. Lee</v>
      </c>
      <c r="P47" s="145"/>
      <c r="Q47" s="144" t="str">
        <f>Q48</f>
        <v>LSJ</v>
      </c>
      <c r="R47" s="145"/>
      <c r="S47" s="149" t="str">
        <f>S48</f>
        <v>Lee</v>
      </c>
      <c r="T47" s="149"/>
      <c r="U47" s="1"/>
    </row>
    <row r="48" spans="1:21" ht="11.25" customHeight="1">
      <c r="A48" s="72">
        <v>0</v>
      </c>
      <c r="B48" s="159" t="s">
        <v>15</v>
      </c>
      <c r="C48" s="160"/>
      <c r="D48" s="17" t="s">
        <v>227</v>
      </c>
      <c r="E48" s="17"/>
      <c r="F48" s="17"/>
      <c r="G48" s="17"/>
      <c r="H48" s="17"/>
      <c r="I48" s="17"/>
      <c r="J48" s="17"/>
      <c r="K48" s="17"/>
      <c r="L48" s="17"/>
      <c r="M48" s="149"/>
      <c r="N48" s="145"/>
      <c r="O48" s="144" t="s">
        <v>198</v>
      </c>
      <c r="P48" s="145"/>
      <c r="Q48" s="144" t="s">
        <v>199</v>
      </c>
      <c r="R48" s="145"/>
      <c r="S48" s="149" t="s">
        <v>200</v>
      </c>
      <c r="T48" s="149"/>
      <c r="U48" s="1"/>
    </row>
    <row r="49" spans="1:21" ht="11.25" customHeight="1">
      <c r="A49" s="155" t="s">
        <v>201</v>
      </c>
      <c r="B49" s="140" t="s">
        <v>5</v>
      </c>
      <c r="C49" s="140"/>
      <c r="D49" s="142" t="s">
        <v>202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40" t="s">
        <v>203</v>
      </c>
      <c r="P49" s="140"/>
      <c r="Q49" s="140" t="s">
        <v>204</v>
      </c>
      <c r="R49" s="140"/>
      <c r="S49" s="140" t="s">
        <v>205</v>
      </c>
      <c r="T49" s="142"/>
      <c r="U49" s="1"/>
    </row>
    <row r="50" spans="1:21" ht="11.25" customHeight="1">
      <c r="A50" s="156"/>
      <c r="B50" s="141"/>
      <c r="C50" s="141"/>
      <c r="D50" s="157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41"/>
      <c r="P50" s="141"/>
      <c r="Q50" s="141"/>
      <c r="R50" s="141"/>
      <c r="S50" s="141"/>
      <c r="T50" s="157"/>
      <c r="U50" s="1"/>
    </row>
    <row r="51" spans="1:21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1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1"/>
    </row>
    <row r="54" spans="1:20" ht="11.25" customHeight="1">
      <c r="A54" s="161" t="s">
        <v>194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</row>
    <row r="55" spans="1:21" ht="11.2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"/>
    </row>
    <row r="56" spans="1:21" ht="11.25" customHeight="1">
      <c r="A56" s="154" t="s">
        <v>206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"/>
    </row>
    <row r="57" spans="1:20" ht="11.2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</row>
    <row r="58" spans="1:20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1.25" customHeight="1">
      <c r="A60" s="1"/>
      <c r="B60" s="1" t="s">
        <v>207</v>
      </c>
      <c r="C60" s="1"/>
      <c r="D60" s="82" t="s">
        <v>208</v>
      </c>
      <c r="E60" s="1"/>
      <c r="F60" s="1"/>
      <c r="G60" s="1"/>
      <c r="H60" s="1"/>
      <c r="I60" s="1"/>
      <c r="J60" s="27"/>
      <c r="K60" s="27"/>
      <c r="L60" s="27"/>
      <c r="M60" s="1"/>
      <c r="N60" s="27"/>
      <c r="O60" s="1" t="s">
        <v>209</v>
      </c>
      <c r="P60" s="1"/>
      <c r="Q60" s="82" t="s">
        <v>210</v>
      </c>
      <c r="R60" s="1"/>
      <c r="S60" s="1"/>
      <c r="T60" s="1"/>
    </row>
    <row r="61" spans="1:20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R61" s="1"/>
      <c r="S61" s="1"/>
      <c r="T61" s="1"/>
    </row>
    <row r="62" spans="1:20" ht="11.2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</row>
    <row r="63" spans="1:20" ht="11.25" customHeight="1">
      <c r="A63" s="14" t="s">
        <v>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84" t="s">
        <v>211</v>
      </c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</sheetData>
  <mergeCells count="41">
    <mergeCell ref="B46:C46"/>
    <mergeCell ref="Q49:R50"/>
    <mergeCell ref="B43:C43"/>
    <mergeCell ref="M45:N45"/>
    <mergeCell ref="O46:P46"/>
    <mergeCell ref="O43:P43"/>
    <mergeCell ref="B44:C44"/>
    <mergeCell ref="M44:N44"/>
    <mergeCell ref="M43:N43"/>
    <mergeCell ref="B45:C45"/>
    <mergeCell ref="O45:P45"/>
    <mergeCell ref="B47:C47"/>
    <mergeCell ref="M47:N47"/>
    <mergeCell ref="O47:P47"/>
    <mergeCell ref="B49:C50"/>
    <mergeCell ref="O48:P48"/>
    <mergeCell ref="S46:T46"/>
    <mergeCell ref="Q47:R47"/>
    <mergeCell ref="S47:T47"/>
    <mergeCell ref="M46:N46"/>
    <mergeCell ref="Q46:R46"/>
    <mergeCell ref="A56:T57"/>
    <mergeCell ref="Q48:R48"/>
    <mergeCell ref="S48:T48"/>
    <mergeCell ref="M48:N48"/>
    <mergeCell ref="A49:A50"/>
    <mergeCell ref="O49:P50"/>
    <mergeCell ref="D49:N50"/>
    <mergeCell ref="B48:C48"/>
    <mergeCell ref="A54:T55"/>
    <mergeCell ref="S49:T50"/>
    <mergeCell ref="Q1:T1"/>
    <mergeCell ref="Q45:R45"/>
    <mergeCell ref="O44:P44"/>
    <mergeCell ref="Q44:R44"/>
    <mergeCell ref="Q43:R43"/>
    <mergeCell ref="S43:T43"/>
    <mergeCell ref="S44:T44"/>
    <mergeCell ref="F10:O11"/>
    <mergeCell ref="F12:O13"/>
    <mergeCell ref="S45:T45"/>
  </mergeCells>
  <hyperlinks>
    <hyperlink ref="D60" r:id="rId1" display="www.ntes.co.kr"/>
    <hyperlink ref="Q60" r:id="rId2" display="ntes@ntes.co.kr"/>
  </hyperlinks>
  <printOptions/>
  <pageMargins left="0.9448818897637796" right="0.3937007874015748" top="0.7874015748031497" bottom="0.3937007874015748" header="0.5118110236220472" footer="0.5118110236220472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F63"/>
  <sheetViews>
    <sheetView view="pageBreakPreview" zoomScaleSheetLayoutView="100" workbookViewId="0" topLeftCell="A1">
      <selection activeCell="W4" sqref="W4"/>
    </sheetView>
  </sheetViews>
  <sheetFormatPr defaultColWidth="8.88671875" defaultRowHeight="13.5"/>
  <cols>
    <col min="1" max="38" width="2.77734375" style="2" customWidth="1"/>
    <col min="39" max="63" width="2.3359375" style="2" customWidth="1"/>
    <col min="64" max="16384" width="8.88671875" style="2" customWidth="1"/>
  </cols>
  <sheetData>
    <row r="1" spans="1:32" ht="11.25" customHeight="1">
      <c r="A1" s="85"/>
      <c r="B1" s="85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U1" s="87" t="s">
        <v>212</v>
      </c>
      <c r="V1" s="88"/>
      <c r="W1" s="89"/>
      <c r="X1" s="164" t="str">
        <f>docno</f>
        <v>TM - PSY - 200</v>
      </c>
      <c r="Y1" s="164"/>
      <c r="Z1" s="164"/>
      <c r="AA1" s="164"/>
      <c r="AB1" s="164"/>
      <c r="AC1" s="4"/>
      <c r="AD1" s="5"/>
      <c r="AE1" s="5"/>
      <c r="AF1" s="5"/>
    </row>
    <row r="2" spans="1:32" ht="11.25" customHeight="1">
      <c r="A2" s="167" t="str">
        <f>title</f>
        <v>P S Y C H R O M E T R I C S   :     P R O C E S S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  <c r="U2" s="90" t="s">
        <v>213</v>
      </c>
      <c r="V2" s="91"/>
      <c r="W2" s="92"/>
      <c r="X2" s="165" t="s">
        <v>228</v>
      </c>
      <c r="Y2" s="165"/>
      <c r="Z2" s="165"/>
      <c r="AA2" s="165"/>
      <c r="AB2" s="165"/>
      <c r="AC2" s="93"/>
      <c r="AD2" s="5"/>
      <c r="AE2" s="5"/>
      <c r="AF2" s="5"/>
    </row>
    <row r="3" spans="1:32" ht="11.2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90" t="s">
        <v>195</v>
      </c>
      <c r="V3" s="91"/>
      <c r="W3" s="92"/>
      <c r="X3" s="94">
        <v>0</v>
      </c>
      <c r="Y3" s="95">
        <v>1</v>
      </c>
      <c r="Z3" s="95"/>
      <c r="AA3" s="95"/>
      <c r="AB3" s="96"/>
      <c r="AC3" s="93"/>
      <c r="AD3" s="5"/>
      <c r="AE3" s="5"/>
      <c r="AF3" s="5"/>
    </row>
    <row r="4" spans="1:32" ht="11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97" t="s">
        <v>196</v>
      </c>
      <c r="V4" s="98"/>
      <c r="W4" s="99"/>
      <c r="X4" s="98"/>
      <c r="Y4" s="98">
        <v>1</v>
      </c>
      <c r="Z4" s="100" t="s">
        <v>214</v>
      </c>
      <c r="AA4" s="101">
        <v>1</v>
      </c>
      <c r="AB4" s="98"/>
      <c r="AC4" s="4"/>
      <c r="AD4" s="5"/>
      <c r="AE4" s="5"/>
      <c r="AF4" s="5"/>
    </row>
    <row r="5" spans="1:32" ht="11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  <c r="V5" s="3"/>
      <c r="W5" s="3"/>
      <c r="X5" s="3"/>
      <c r="Y5" s="3"/>
      <c r="Z5" s="3"/>
      <c r="AA5" s="3"/>
      <c r="AB5" s="3"/>
      <c r="AC5" s="4"/>
      <c r="AD5" s="5"/>
      <c r="AE5" s="5"/>
      <c r="AF5" s="5"/>
    </row>
    <row r="6" spans="1:32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3"/>
      <c r="W6" s="3"/>
      <c r="X6" s="3"/>
      <c r="Y6" s="3"/>
      <c r="Z6" s="3"/>
      <c r="AA6" s="3"/>
      <c r="AB6" s="3"/>
      <c r="AC6" s="4"/>
      <c r="AD6" s="5"/>
      <c r="AE6" s="5"/>
      <c r="AF6" s="5"/>
    </row>
    <row r="7" spans="1:29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3"/>
      <c r="W7" s="3"/>
      <c r="X7" s="3"/>
      <c r="Y7" s="3"/>
      <c r="Z7" s="3"/>
      <c r="AA7" s="3"/>
      <c r="AB7" s="3"/>
      <c r="AC7" s="3"/>
    </row>
    <row r="8" spans="1:29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</row>
    <row r="9" spans="1:29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</row>
    <row r="10" spans="1:29" ht="11.25" customHeight="1">
      <c r="A10" s="1"/>
      <c r="B10" s="1"/>
      <c r="C10" s="1"/>
      <c r="D10" s="1"/>
      <c r="E10" s="1"/>
      <c r="F10" s="166" t="s">
        <v>215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"/>
      <c r="S10" s="1"/>
      <c r="T10" s="1"/>
      <c r="U10" s="1"/>
      <c r="V10" s="3"/>
      <c r="W10" s="3"/>
      <c r="X10" s="3"/>
      <c r="Y10" s="3"/>
      <c r="Z10" s="3"/>
      <c r="AA10" s="3"/>
      <c r="AB10" s="3"/>
      <c r="AC10" s="3"/>
    </row>
    <row r="11" spans="1:29" ht="11.25" customHeight="1">
      <c r="A11" s="1"/>
      <c r="B11" s="1"/>
      <c r="C11" s="1"/>
      <c r="D11" s="1"/>
      <c r="E11" s="1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"/>
      <c r="S11" s="1"/>
      <c r="T11" s="1"/>
      <c r="U11" s="1"/>
      <c r="V11" s="3"/>
      <c r="W11" s="3"/>
      <c r="X11" s="3"/>
      <c r="Y11" s="3"/>
      <c r="Z11" s="3"/>
      <c r="AA11" s="3"/>
      <c r="AB11" s="3"/>
      <c r="AC11" s="3"/>
    </row>
    <row r="12" spans="1:29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"/>
      <c r="W12" s="3"/>
      <c r="X12" s="3"/>
      <c r="Y12" s="3"/>
      <c r="Z12" s="3"/>
      <c r="AA12" s="3"/>
      <c r="AB12" s="3"/>
      <c r="AC12" s="3"/>
    </row>
    <row r="13" spans="1:21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9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"/>
      <c r="W14" s="3"/>
      <c r="X14" s="3"/>
      <c r="Y14" s="3"/>
      <c r="Z14" s="3"/>
      <c r="AA14" s="3"/>
      <c r="AB14" s="3"/>
      <c r="AC14" s="3"/>
    </row>
    <row r="15" spans="1:29" ht="11.25" customHeight="1">
      <c r="A15" s="1"/>
      <c r="B15" s="1"/>
      <c r="C15" s="1"/>
      <c r="D15" s="1"/>
      <c r="E15" s="1"/>
      <c r="F15" s="11" t="s">
        <v>216</v>
      </c>
      <c r="G15" s="1"/>
      <c r="H15" s="8" t="str">
        <f>toc1</f>
        <v>Introduction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  <c r="W15" s="3"/>
      <c r="X15" s="3"/>
      <c r="Y15" s="3"/>
      <c r="Z15" s="3"/>
      <c r="AA15" s="3"/>
      <c r="AB15" s="3"/>
      <c r="AC15" s="3"/>
    </row>
    <row r="16" spans="1:29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"/>
      <c r="W16" s="3"/>
      <c r="X16" s="3"/>
      <c r="Y16" s="3"/>
      <c r="Z16" s="3"/>
      <c r="AA16" s="3"/>
      <c r="AB16" s="3"/>
      <c r="AC16" s="3"/>
    </row>
    <row r="17" spans="1:29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"/>
      <c r="W17" s="3"/>
      <c r="X17" s="3"/>
      <c r="Y17" s="3"/>
      <c r="Z17" s="3"/>
      <c r="AA17" s="3"/>
      <c r="AB17" s="3"/>
      <c r="AC17" s="3"/>
    </row>
    <row r="18" spans="1:29" ht="11.25" customHeight="1">
      <c r="A18" s="1"/>
      <c r="B18" s="1"/>
      <c r="C18" s="1"/>
      <c r="D18" s="1"/>
      <c r="E18" s="1"/>
      <c r="F18" s="11" t="s">
        <v>217</v>
      </c>
      <c r="G18" s="1"/>
      <c r="H18" s="8" t="str">
        <f>toc2</f>
        <v>Definition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"/>
      <c r="W18" s="3"/>
      <c r="X18" s="3"/>
      <c r="Y18" s="3"/>
      <c r="Z18" s="3"/>
      <c r="AA18" s="3"/>
      <c r="AB18" s="3"/>
      <c r="AC18" s="3"/>
    </row>
    <row r="19" spans="1:2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"/>
      <c r="W19" s="3"/>
      <c r="X19" s="3"/>
      <c r="Y19" s="3"/>
      <c r="Z19" s="3"/>
      <c r="AA19" s="3"/>
      <c r="AB19" s="3"/>
      <c r="AC19" s="3"/>
    </row>
    <row r="20" spans="1:21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9" ht="11.25" customHeight="1">
      <c r="A21" s="1"/>
      <c r="B21" s="1"/>
      <c r="C21" s="1"/>
      <c r="D21" s="1"/>
      <c r="E21" s="1"/>
      <c r="F21" s="11" t="s">
        <v>218</v>
      </c>
      <c r="G21" s="1"/>
      <c r="H21" s="8" t="str">
        <f>toc3</f>
        <v>Heating or Cooling Process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"/>
      <c r="W21" s="3"/>
      <c r="X21" s="3"/>
      <c r="Y21" s="3"/>
      <c r="Z21" s="3"/>
      <c r="AA21" s="3"/>
      <c r="AB21" s="3"/>
      <c r="AC21" s="3"/>
    </row>
    <row r="22" spans="1:21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9" ht="11.25" customHeight="1">
      <c r="A24" s="1"/>
      <c r="B24" s="1"/>
      <c r="C24" s="1"/>
      <c r="D24" s="1"/>
      <c r="E24" s="1"/>
      <c r="F24" s="11" t="s">
        <v>219</v>
      </c>
      <c r="G24" s="1"/>
      <c r="H24" s="8" t="str">
        <f>toc4</f>
        <v>Cooling and Dehumidifying Process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"/>
      <c r="W24" s="3"/>
      <c r="X24" s="3"/>
      <c r="Y24" s="3"/>
      <c r="Z24" s="3"/>
      <c r="AA24" s="3"/>
      <c r="AB24" s="3"/>
      <c r="AC24" s="3"/>
    </row>
    <row r="25" spans="1:21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9" ht="11.25" customHeight="1">
      <c r="A27" s="1"/>
      <c r="B27" s="1"/>
      <c r="C27" s="1"/>
      <c r="D27" s="1"/>
      <c r="E27" s="1"/>
      <c r="F27" s="11" t="s">
        <v>220</v>
      </c>
      <c r="G27" s="1"/>
      <c r="H27" s="8" t="str">
        <f>toc5</f>
        <v>Adiabatic Mixing Process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/>
      <c r="W27" s="3"/>
      <c r="X27" s="3"/>
      <c r="Y27" s="3"/>
      <c r="Z27" s="3"/>
      <c r="AA27" s="3"/>
      <c r="AB27" s="3"/>
      <c r="AC27" s="3"/>
    </row>
    <row r="28" spans="1:21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9" ht="11.25" customHeight="1">
      <c r="A30" s="1"/>
      <c r="B30" s="1"/>
      <c r="C30" s="1"/>
      <c r="D30" s="1"/>
      <c r="E30" s="1"/>
      <c r="F30" s="11" t="s">
        <v>221</v>
      </c>
      <c r="G30" s="1"/>
      <c r="H30" s="8" t="str">
        <f>toc6</f>
        <v>Humidifying Process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"/>
      <c r="W30" s="3"/>
      <c r="X30" s="3"/>
      <c r="Y30" s="3"/>
      <c r="Z30" s="3"/>
      <c r="AA30" s="3"/>
      <c r="AB30" s="3"/>
      <c r="AC30" s="3"/>
    </row>
    <row r="31" spans="1:21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9" ht="11.25" customHeight="1">
      <c r="A33" s="1"/>
      <c r="B33" s="1"/>
      <c r="C33" s="1"/>
      <c r="D33" s="1"/>
      <c r="E33" s="1"/>
      <c r="F33" s="11"/>
      <c r="G33" s="1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"/>
      <c r="W33" s="3"/>
      <c r="X33" s="3"/>
      <c r="Y33" s="3"/>
      <c r="Z33" s="3"/>
      <c r="AA33" s="3"/>
      <c r="AB33" s="3"/>
      <c r="AC33" s="3"/>
    </row>
    <row r="34" spans="1:21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9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3"/>
      <c r="W36" s="3"/>
      <c r="X36" s="3"/>
      <c r="Y36" s="3"/>
      <c r="Z36" s="3"/>
      <c r="AA36" s="3"/>
      <c r="AB36" s="3"/>
      <c r="AC36" s="3"/>
    </row>
    <row r="37" spans="1:21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9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"/>
      <c r="W39" s="3"/>
      <c r="X39" s="3"/>
      <c r="Y39" s="3"/>
      <c r="Z39" s="3"/>
      <c r="AA39" s="3"/>
      <c r="AB39" s="3"/>
      <c r="AC39" s="3"/>
    </row>
    <row r="40" spans="1:21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9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"/>
      <c r="W42" s="3"/>
      <c r="X42" s="3"/>
      <c r="Y42" s="3"/>
      <c r="Z42" s="3"/>
      <c r="AA42" s="3"/>
      <c r="AB42" s="3"/>
      <c r="AC42" s="3"/>
    </row>
    <row r="43" spans="1:21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9" ht="11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  <c r="AC45" s="3"/>
    </row>
    <row r="46" spans="1:29" ht="11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3"/>
      <c r="W46" s="3"/>
      <c r="X46" s="3"/>
      <c r="Y46" s="3"/>
      <c r="Z46" s="3"/>
      <c r="AA46" s="3"/>
      <c r="AB46" s="3"/>
      <c r="AC46" s="3"/>
    </row>
    <row r="47" spans="1:29" ht="11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3"/>
      <c r="W47" s="3"/>
      <c r="X47" s="3"/>
      <c r="Y47" s="3"/>
      <c r="Z47" s="3"/>
      <c r="AA47" s="3"/>
      <c r="AB47" s="3"/>
      <c r="AC47" s="3"/>
    </row>
    <row r="48" spans="1:29" ht="11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3"/>
      <c r="W48" s="3"/>
      <c r="X48" s="3"/>
      <c r="Y48" s="3"/>
      <c r="Z48" s="3"/>
      <c r="AA48" s="3"/>
      <c r="AB48" s="3"/>
      <c r="AC48" s="3"/>
    </row>
    <row r="49" spans="1:29" ht="11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3"/>
      <c r="W49" s="3"/>
      <c r="X49" s="3"/>
      <c r="Y49" s="3"/>
      <c r="Z49" s="3"/>
      <c r="AA49" s="3"/>
      <c r="AB49" s="3"/>
      <c r="AC49" s="3"/>
    </row>
    <row r="50" spans="1:29" ht="11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</row>
    <row r="51" spans="1:29" ht="11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3"/>
      <c r="W51" s="3"/>
      <c r="X51" s="3"/>
      <c r="Y51" s="3"/>
      <c r="Z51" s="3"/>
      <c r="AA51" s="3"/>
      <c r="AB51" s="3"/>
      <c r="AC51" s="3"/>
    </row>
    <row r="52" spans="1:29" ht="11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3"/>
      <c r="W52" s="3"/>
      <c r="X52" s="3"/>
      <c r="Y52" s="3"/>
      <c r="Z52" s="3"/>
      <c r="AA52" s="3"/>
      <c r="AB52" s="3"/>
      <c r="AC52" s="3"/>
    </row>
    <row r="53" spans="1:29" ht="11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3"/>
      <c r="W53" s="3"/>
      <c r="X53" s="3"/>
      <c r="Y53" s="3"/>
      <c r="Z53" s="3"/>
      <c r="AA53" s="3"/>
      <c r="AB53" s="3"/>
      <c r="AC53" s="3"/>
    </row>
    <row r="54" spans="1:29" ht="11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  <c r="AC54" s="3"/>
    </row>
    <row r="55" spans="1:29" ht="11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1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1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1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1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1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1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30" ht="11.2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6"/>
      <c r="AD62" s="1"/>
    </row>
    <row r="63" spans="1:30" ht="11.25" customHeight="1">
      <c r="A63" s="1" t="str">
        <f>cosymbol</f>
        <v> NTES</v>
      </c>
      <c r="AB63" s="19" t="str">
        <f>coname</f>
        <v>Narai Thermal engineering Services </v>
      </c>
      <c r="AC63" s="1"/>
      <c r="AD63" s="1"/>
    </row>
    <row r="64" ht="11.25" customHeight="1"/>
    <row r="111" ht="13.5" customHeight="1"/>
    <row r="112" ht="13.5" customHeight="1"/>
  </sheetData>
  <mergeCells count="4">
    <mergeCell ref="X1:AB1"/>
    <mergeCell ref="X2:AB2"/>
    <mergeCell ref="F10:Q11"/>
    <mergeCell ref="A2:T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K75"/>
  <sheetViews>
    <sheetView tabSelected="1" view="pageBreakPreview" zoomScaleSheetLayoutView="100" workbookViewId="0" topLeftCell="A1">
      <selection activeCell="AB4" sqref="AB4"/>
    </sheetView>
  </sheetViews>
  <sheetFormatPr defaultColWidth="8.88671875" defaultRowHeight="13.5"/>
  <cols>
    <col min="1" max="36" width="2.3359375" style="2" customWidth="1"/>
    <col min="37" max="63" width="3.77734375" style="2" customWidth="1"/>
    <col min="64" max="16384" width="8.88671875" style="2" customWidth="1"/>
  </cols>
  <sheetData>
    <row r="1" spans="1:34" ht="9.75" customHeight="1">
      <c r="A1" s="77"/>
      <c r="B1" s="103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104" t="s">
        <v>229</v>
      </c>
      <c r="Z1" s="105"/>
      <c r="AA1" s="106"/>
      <c r="AB1" s="105"/>
      <c r="AC1" s="173" t="str">
        <f>docno</f>
        <v>TM - PSY - 200</v>
      </c>
      <c r="AD1" s="164"/>
      <c r="AE1" s="164"/>
      <c r="AF1" s="164"/>
      <c r="AG1" s="164"/>
      <c r="AH1" s="164"/>
    </row>
    <row r="2" spans="1:34" ht="9.75" customHeight="1">
      <c r="A2" s="167" t="str">
        <f>title</f>
        <v>P S Y C H R O M E T R I C S   :     P R O C E S S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/>
      <c r="Y2" s="107" t="s">
        <v>230</v>
      </c>
      <c r="Z2" s="17"/>
      <c r="AA2" s="108"/>
      <c r="AB2" s="17"/>
      <c r="AC2" s="174" t="s">
        <v>231</v>
      </c>
      <c r="AD2" s="165"/>
      <c r="AE2" s="165"/>
      <c r="AF2" s="165"/>
      <c r="AG2" s="165"/>
      <c r="AH2" s="165"/>
    </row>
    <row r="3" spans="1:34" ht="9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09" t="s">
        <v>232</v>
      </c>
      <c r="Z3" s="68"/>
      <c r="AA3" s="68"/>
      <c r="AB3" s="68"/>
      <c r="AC3" s="110">
        <v>0</v>
      </c>
      <c r="AD3" s="111">
        <v>1</v>
      </c>
      <c r="AE3" s="111"/>
      <c r="AF3" s="111"/>
      <c r="AG3" s="111"/>
      <c r="AH3" s="112"/>
    </row>
    <row r="4" spans="1:34" ht="9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13" t="s">
        <v>233</v>
      </c>
      <c r="Z4" s="114"/>
      <c r="AA4" s="115"/>
      <c r="AB4" s="114"/>
      <c r="AC4" s="116"/>
      <c r="AD4" s="117">
        <v>1</v>
      </c>
      <c r="AE4" s="171" t="s">
        <v>234</v>
      </c>
      <c r="AF4" s="171"/>
      <c r="AG4" s="118">
        <v>5</v>
      </c>
      <c r="AH4" s="119"/>
    </row>
    <row r="5" spans="1:34" ht="9.75" customHeight="1">
      <c r="A5" s="6"/>
      <c r="B5" s="1"/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4" ht="9.75" customHeight="1">
      <c r="A6" s="6"/>
      <c r="B6" s="1"/>
      <c r="M6" s="6"/>
      <c r="N6" s="6"/>
      <c r="O6" s="6"/>
      <c r="P6" s="6"/>
      <c r="Q6" s="6"/>
      <c r="R6" s="6"/>
      <c r="S6" s="6"/>
      <c r="Y6" s="6"/>
      <c r="AH6" s="3"/>
    </row>
    <row r="7" spans="1:33" ht="9.75" customHeight="1">
      <c r="A7" s="6"/>
      <c r="B7" s="6"/>
      <c r="M7" s="6"/>
      <c r="N7" s="6"/>
      <c r="O7" s="6"/>
      <c r="P7" s="6"/>
      <c r="Q7" s="6"/>
      <c r="R7" s="6"/>
      <c r="S7" s="6"/>
      <c r="T7" s="6"/>
      <c r="U7" s="6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28" ht="9.75" customHeight="1">
      <c r="A8" s="6"/>
      <c r="B8" s="6"/>
      <c r="C8" s="11" t="s">
        <v>0</v>
      </c>
      <c r="D8" s="14" t="s">
        <v>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</row>
    <row r="9" spans="1:29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AC9" s="3"/>
    </row>
    <row r="10" spans="1:29" ht="9.75" customHeight="1">
      <c r="A10" s="6"/>
      <c r="B10" s="6"/>
      <c r="C10" s="6"/>
      <c r="D10" s="6" t="s">
        <v>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6"/>
      <c r="B11" s="6"/>
      <c r="C11" s="6"/>
      <c r="D11" s="6" t="s">
        <v>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"/>
      <c r="W11" s="3"/>
      <c r="X11" s="3"/>
      <c r="Y11" s="3"/>
      <c r="Z11" s="3"/>
      <c r="AA11" s="3"/>
      <c r="AB11" s="3"/>
      <c r="AC11" s="3"/>
    </row>
    <row r="12" spans="1:29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AC12" s="3"/>
    </row>
    <row r="13" spans="1:29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</row>
    <row r="14" spans="1:29" ht="9.75" customHeight="1">
      <c r="A14" s="1"/>
      <c r="B14" s="1"/>
      <c r="C14" s="11" t="s">
        <v>1</v>
      </c>
      <c r="D14" s="14" t="s">
        <v>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AC14" s="3"/>
    </row>
    <row r="15" spans="1:29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V15" s="1"/>
      <c r="W15" s="1"/>
      <c r="AC15" s="3"/>
    </row>
    <row r="16" spans="1:29" ht="9.75" customHeight="1">
      <c r="A16" s="6"/>
      <c r="B16" s="6"/>
      <c r="C16" s="6"/>
      <c r="D16" s="123" t="s">
        <v>253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" t="s">
        <v>255</v>
      </c>
      <c r="V16" s="1"/>
      <c r="W16" s="1"/>
      <c r="AA16" s="3"/>
      <c r="AB16" s="3"/>
      <c r="AC16" s="3"/>
    </row>
    <row r="17" spans="1:37" ht="9.75" customHeight="1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"/>
      <c r="U17" s="3"/>
      <c r="V17" s="6"/>
      <c r="W17" s="6"/>
      <c r="X17" s="3"/>
      <c r="Y17" s="3"/>
      <c r="Z17" s="3"/>
      <c r="AA17" s="3"/>
      <c r="AB17" s="3"/>
      <c r="AC17" s="3"/>
      <c r="AK17" s="6"/>
    </row>
    <row r="18" spans="1:37" ht="9.75" customHeight="1">
      <c r="A18" s="6"/>
      <c r="B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U18" s="3"/>
      <c r="V18" s="6"/>
      <c r="W18" s="6"/>
      <c r="X18" s="3"/>
      <c r="Y18" s="3"/>
      <c r="Z18" s="3"/>
      <c r="AA18" s="3"/>
      <c r="AB18" s="3"/>
      <c r="AC18" s="3"/>
      <c r="AK18" s="6"/>
    </row>
    <row r="19" spans="1:37" ht="9.75" customHeight="1">
      <c r="A19" s="1"/>
      <c r="B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"/>
      <c r="U19" s="3"/>
      <c r="V19" s="6"/>
      <c r="W19" s="6"/>
      <c r="X19" s="3"/>
      <c r="Y19" s="3"/>
      <c r="Z19" s="3"/>
      <c r="AC19" s="3"/>
      <c r="AK19" s="1"/>
    </row>
    <row r="20" spans="1:37" ht="9.75" customHeight="1">
      <c r="A20" s="6"/>
      <c r="B20" s="6"/>
      <c r="D20" s="6"/>
      <c r="E20" s="6"/>
      <c r="F20" s="6"/>
      <c r="G20" s="6"/>
      <c r="H20" s="6"/>
      <c r="I20" s="6"/>
      <c r="J20" s="6"/>
      <c r="K20" s="6"/>
      <c r="L20" s="27" t="s">
        <v>176</v>
      </c>
      <c r="M20" s="6"/>
      <c r="N20" s="6"/>
      <c r="O20" s="6"/>
      <c r="P20" s="6"/>
      <c r="Q20" s="6"/>
      <c r="R20" s="6"/>
      <c r="S20" s="6"/>
      <c r="T20" s="1" t="s">
        <v>256</v>
      </c>
      <c r="V20" s="1"/>
      <c r="W20" s="1"/>
      <c r="AA20" s="3"/>
      <c r="AB20" s="3"/>
      <c r="AK20" s="6"/>
    </row>
    <row r="21" spans="1:37" ht="9.75" customHeight="1">
      <c r="A21" s="1"/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V21" s="1"/>
      <c r="W21" s="67"/>
      <c r="AC21" s="3"/>
      <c r="AK21" s="1"/>
    </row>
    <row r="22" spans="1:37" ht="9.75" customHeight="1">
      <c r="A22" s="1"/>
      <c r="B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  <c r="W22" s="1"/>
      <c r="AC22" s="3"/>
      <c r="AK22" s="1"/>
    </row>
    <row r="23" spans="1:37" ht="9.75" customHeight="1">
      <c r="A23" s="6"/>
      <c r="B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3"/>
      <c r="U23" s="3"/>
      <c r="V23" s="6"/>
      <c r="W23" s="6"/>
      <c r="X23" s="3"/>
      <c r="Y23" s="3"/>
      <c r="Z23" s="3"/>
      <c r="AA23" s="3"/>
      <c r="AB23" s="3"/>
      <c r="AC23" s="3"/>
      <c r="AK23" s="6"/>
    </row>
    <row r="24" spans="1:37" ht="9.75" customHeight="1">
      <c r="A24" s="6"/>
      <c r="B24" s="6"/>
      <c r="D24" s="27" t="s">
        <v>254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3"/>
      <c r="U24" s="3"/>
      <c r="V24" s="6"/>
      <c r="W24" s="6"/>
      <c r="X24" s="3"/>
      <c r="Y24" s="3"/>
      <c r="Z24" s="3"/>
      <c r="AA24" s="3"/>
      <c r="AB24" s="3"/>
      <c r="AC24" s="3"/>
      <c r="AK24" s="6"/>
    </row>
    <row r="25" spans="1:37" ht="9.75" customHeight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3"/>
      <c r="U25" s="3"/>
      <c r="V25" s="6"/>
      <c r="W25" s="6"/>
      <c r="X25" s="3"/>
      <c r="Y25" s="3"/>
      <c r="Z25" s="3"/>
      <c r="AA25" s="3"/>
      <c r="AB25" s="3"/>
      <c r="AC25" s="3"/>
      <c r="AK25" s="6"/>
    </row>
    <row r="26" spans="1:37" ht="9.75" customHeight="1">
      <c r="A26" s="1"/>
      <c r="B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  <c r="W26" s="1"/>
      <c r="AC26" s="3"/>
      <c r="AK26" s="1"/>
    </row>
    <row r="27" spans="1:29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  <c r="W27" s="1"/>
      <c r="AC27" s="3"/>
    </row>
    <row r="28" spans="1:29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3"/>
      <c r="U28" s="3"/>
      <c r="V28" s="6"/>
      <c r="W28" s="6"/>
      <c r="X28" s="3"/>
      <c r="Y28" s="3"/>
      <c r="Z28" s="3"/>
      <c r="AA28" s="3"/>
      <c r="AB28" s="3"/>
      <c r="AC28" s="3"/>
    </row>
    <row r="29" spans="1:29" ht="9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3" t="s">
        <v>257</v>
      </c>
      <c r="T29" s="3"/>
      <c r="U29" s="3"/>
      <c r="V29" s="6"/>
      <c r="W29" s="6"/>
      <c r="X29" s="3"/>
      <c r="Y29" s="3"/>
      <c r="Z29" s="3"/>
      <c r="AA29" s="3"/>
      <c r="AB29" s="3"/>
      <c r="AC29" s="3"/>
    </row>
    <row r="30" spans="1:29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AC30" s="3"/>
    </row>
    <row r="31" spans="1:29" ht="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3"/>
      <c r="W31" s="3"/>
      <c r="X31" s="3"/>
      <c r="Y31" s="3"/>
      <c r="Z31" s="3"/>
      <c r="AA31" s="3"/>
      <c r="AB31" s="3"/>
      <c r="AC31" s="3"/>
    </row>
    <row r="32" spans="1:29" ht="9.75" customHeight="1">
      <c r="A32" s="1"/>
      <c r="B32" s="6"/>
      <c r="C32" s="1"/>
      <c r="D32" s="1"/>
      <c r="E32" s="1"/>
      <c r="F32" s="1"/>
      <c r="G32" s="1"/>
      <c r="H32" s="1" t="s">
        <v>154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AC32" s="3"/>
    </row>
    <row r="33" spans="1:29" ht="9.75" customHeight="1">
      <c r="A33" s="1"/>
      <c r="B33" s="6"/>
      <c r="C33" s="1"/>
      <c r="D33" s="1"/>
      <c r="E33" s="1"/>
      <c r="F33" s="1"/>
      <c r="G33" s="1"/>
      <c r="H33" s="1" t="s">
        <v>155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AC33" s="3"/>
    </row>
    <row r="34" spans="1:29" ht="9.75" customHeight="1">
      <c r="A34" s="6"/>
      <c r="B34" s="1"/>
      <c r="C34" s="6"/>
      <c r="D34" s="6"/>
      <c r="E34" s="6"/>
      <c r="F34" s="6"/>
      <c r="G34" s="6"/>
      <c r="H34" s="6" t="s">
        <v>156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3"/>
      <c r="W34" s="3"/>
      <c r="X34" s="3"/>
      <c r="Y34" s="3"/>
      <c r="Z34" s="3"/>
      <c r="AA34" s="3"/>
      <c r="AB34" s="3"/>
      <c r="AC34" s="3"/>
    </row>
    <row r="35" spans="1:29" ht="9.75" customHeight="1">
      <c r="A35" s="6"/>
      <c r="B35" s="6"/>
      <c r="C35" s="6"/>
      <c r="D35" s="6"/>
      <c r="E35" s="6"/>
      <c r="F35" s="6"/>
      <c r="G35" s="6"/>
      <c r="H35" s="1" t="s">
        <v>155</v>
      </c>
      <c r="I35" s="6"/>
      <c r="J35" s="6"/>
      <c r="K35" s="6"/>
      <c r="L35" s="67" t="s">
        <v>157</v>
      </c>
      <c r="M35" s="6" t="s">
        <v>156</v>
      </c>
      <c r="N35" s="6"/>
      <c r="O35" s="6"/>
      <c r="P35" s="6"/>
      <c r="Q35" s="6"/>
      <c r="R35" s="6"/>
      <c r="S35" s="6"/>
      <c r="T35" s="6"/>
      <c r="U35" s="6"/>
      <c r="V35" s="3"/>
      <c r="W35" s="3"/>
      <c r="X35" s="3"/>
      <c r="Y35" s="3"/>
      <c r="Z35" s="3"/>
      <c r="AA35" s="3"/>
      <c r="AB35" s="3"/>
      <c r="AC35" s="3"/>
    </row>
    <row r="36" spans="1:29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AC36" s="3"/>
    </row>
    <row r="37" spans="1:29" ht="9.75" customHeight="1">
      <c r="A37" s="6"/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 t="s">
        <v>158</v>
      </c>
      <c r="O37" s="6"/>
      <c r="P37" s="6"/>
      <c r="Q37" s="6"/>
      <c r="R37" s="6"/>
      <c r="S37" s="6"/>
      <c r="T37" s="6"/>
      <c r="U37" s="6"/>
      <c r="V37" s="3"/>
      <c r="W37" s="3"/>
      <c r="X37" s="3"/>
      <c r="Y37" s="3"/>
      <c r="Z37" s="3"/>
      <c r="AA37" s="3"/>
      <c r="AB37" s="3"/>
      <c r="AC37" s="3"/>
    </row>
    <row r="38" spans="1:29" ht="9.75" customHeight="1">
      <c r="A38" s="6"/>
      <c r="B38" s="6"/>
      <c r="C38" s="6"/>
      <c r="D38" s="6"/>
      <c r="E38" s="6"/>
      <c r="F38" s="6"/>
      <c r="G38" s="6"/>
      <c r="H38" s="6"/>
      <c r="I38" s="172" t="s">
        <v>159</v>
      </c>
      <c r="J38" s="172"/>
      <c r="K38" s="172"/>
      <c r="L38" s="6"/>
      <c r="M38" s="6"/>
      <c r="N38" s="6" t="s">
        <v>292</v>
      </c>
      <c r="O38" s="6"/>
      <c r="P38" s="6"/>
      <c r="Q38" s="6"/>
      <c r="R38" s="6"/>
      <c r="S38" s="6"/>
      <c r="T38" s="6"/>
      <c r="U38" s="6"/>
      <c r="V38" s="3"/>
      <c r="W38" s="3"/>
      <c r="X38" s="3"/>
      <c r="Y38" s="3"/>
      <c r="Z38" s="3"/>
      <c r="AA38" s="3"/>
      <c r="AB38" s="3"/>
      <c r="AC38" s="3"/>
    </row>
    <row r="39" spans="1:29" ht="9.75" customHeight="1">
      <c r="A39" s="1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AC39" s="3"/>
    </row>
    <row r="40" spans="1:29" ht="9.75" customHeight="1">
      <c r="A40" s="1"/>
      <c r="B40" s="6"/>
      <c r="C40" s="1"/>
      <c r="D40" s="1"/>
      <c r="E40" s="1"/>
      <c r="F40" s="1"/>
      <c r="G40" s="1"/>
      <c r="H40" s="1" t="s">
        <v>161</v>
      </c>
      <c r="I40" s="1"/>
      <c r="J40" s="1"/>
      <c r="K40" s="1"/>
      <c r="L40" s="1" t="s">
        <v>162</v>
      </c>
      <c r="M40" s="67" t="s">
        <v>164</v>
      </c>
      <c r="N40" s="1" t="s">
        <v>163</v>
      </c>
      <c r="O40" s="1"/>
      <c r="P40" s="1" t="s">
        <v>167</v>
      </c>
      <c r="Q40" s="1"/>
      <c r="R40" s="1"/>
      <c r="S40" s="1"/>
      <c r="T40" s="1"/>
      <c r="U40" s="1"/>
      <c r="X40" s="2" t="s">
        <v>168</v>
      </c>
      <c r="AC40" s="3"/>
    </row>
    <row r="41" spans="1:29" ht="9.75" customHeight="1">
      <c r="A41" s="1"/>
      <c r="B41" s="1"/>
      <c r="C41" s="1"/>
      <c r="D41" s="1"/>
      <c r="E41" s="1"/>
      <c r="F41" s="1"/>
      <c r="G41" s="1"/>
      <c r="H41" s="1" t="s">
        <v>161</v>
      </c>
      <c r="I41" s="1"/>
      <c r="J41" s="1"/>
      <c r="K41" s="1"/>
      <c r="L41" s="1" t="s">
        <v>162</v>
      </c>
      <c r="M41" s="67" t="s">
        <v>165</v>
      </c>
      <c r="N41" s="1" t="s">
        <v>163</v>
      </c>
      <c r="O41" s="1"/>
      <c r="P41" s="1" t="s">
        <v>167</v>
      </c>
      <c r="Q41" s="1"/>
      <c r="R41" s="1"/>
      <c r="S41" s="1"/>
      <c r="T41" s="1"/>
      <c r="U41" s="1"/>
      <c r="X41" s="2" t="s">
        <v>168</v>
      </c>
      <c r="AC41" s="3"/>
    </row>
    <row r="42" spans="1:29" ht="9.75" customHeight="1">
      <c r="A42" s="6"/>
      <c r="B42" s="6"/>
      <c r="C42" s="6"/>
      <c r="D42" s="6"/>
      <c r="E42" s="6"/>
      <c r="F42" s="6"/>
      <c r="G42" s="6"/>
      <c r="H42" s="1" t="s">
        <v>161</v>
      </c>
      <c r="I42" s="6"/>
      <c r="J42" s="6"/>
      <c r="K42" s="6"/>
      <c r="L42" s="6" t="s">
        <v>162</v>
      </c>
      <c r="M42" s="67" t="s">
        <v>166</v>
      </c>
      <c r="N42" s="6" t="s">
        <v>163</v>
      </c>
      <c r="O42" s="6"/>
      <c r="P42" s="1" t="s">
        <v>167</v>
      </c>
      <c r="Q42" s="6"/>
      <c r="R42" s="6"/>
      <c r="S42" s="6"/>
      <c r="T42" s="6"/>
      <c r="U42" s="6"/>
      <c r="V42" s="3"/>
      <c r="W42" s="3"/>
      <c r="X42" s="3" t="s">
        <v>169</v>
      </c>
      <c r="Y42" s="3"/>
      <c r="Z42" s="3"/>
      <c r="AA42" s="3"/>
      <c r="AB42" s="3"/>
      <c r="AC42" s="3"/>
    </row>
    <row r="43" spans="1:29" ht="9.75" customHeight="1">
      <c r="A43" s="6"/>
      <c r="B43" s="6"/>
      <c r="C43" s="6"/>
      <c r="D43" s="6"/>
      <c r="E43" s="6"/>
      <c r="F43" s="6"/>
      <c r="G43" s="6"/>
      <c r="H43" s="6"/>
      <c r="I43" s="6"/>
      <c r="J43" s="6" t="s">
        <v>170</v>
      </c>
      <c r="K43" s="6"/>
      <c r="L43" s="6" t="s">
        <v>171</v>
      </c>
      <c r="M43" s="6" t="s">
        <v>172</v>
      </c>
      <c r="N43" s="6"/>
      <c r="O43" s="6"/>
      <c r="P43" s="6"/>
      <c r="Q43" s="6"/>
      <c r="R43" s="6"/>
      <c r="S43" s="6"/>
      <c r="T43" s="6"/>
      <c r="U43" s="6"/>
      <c r="V43" s="3"/>
      <c r="W43" s="3"/>
      <c r="X43" s="3"/>
      <c r="Y43" s="3"/>
      <c r="Z43" s="3"/>
      <c r="AA43" s="3"/>
      <c r="AB43" s="3"/>
      <c r="AC43" s="3"/>
    </row>
    <row r="44" spans="1:29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C44" s="3"/>
    </row>
    <row r="45" spans="1:29" ht="9.75" customHeight="1">
      <c r="A45" s="6"/>
      <c r="B45" s="6"/>
      <c r="C45" s="6"/>
      <c r="D45" s="6"/>
      <c r="E45" s="6"/>
      <c r="F45" s="6"/>
      <c r="G45" s="6"/>
      <c r="H45" s="6" t="s">
        <v>173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  <c r="AC45" s="3"/>
    </row>
    <row r="46" spans="1:29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AC46" s="3"/>
    </row>
    <row r="47" spans="1:28" ht="9.75" customHeight="1">
      <c r="A47" s="6"/>
      <c r="B47" s="6"/>
      <c r="C47" s="67" t="s">
        <v>160</v>
      </c>
      <c r="D47" s="6"/>
      <c r="E47" s="6"/>
      <c r="F47" s="6"/>
      <c r="G47" s="6"/>
      <c r="H47" s="1" t="s">
        <v>174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3"/>
      <c r="W47" s="3"/>
      <c r="X47" s="3"/>
      <c r="Y47" s="3"/>
      <c r="Z47" s="3"/>
      <c r="AA47" s="3"/>
      <c r="AB47" s="3"/>
    </row>
    <row r="48" spans="1:28" ht="9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9" ht="9.75" customHeight="1">
      <c r="A49" s="1"/>
      <c r="B49" s="1"/>
      <c r="C49" s="1"/>
      <c r="D49" s="1"/>
      <c r="E49" s="1"/>
      <c r="F49" s="1"/>
      <c r="G49" s="1"/>
      <c r="H49" s="1" t="s">
        <v>175</v>
      </c>
      <c r="I49" s="1"/>
      <c r="J49" s="1"/>
      <c r="K49" s="1" t="str">
        <f>L20</f>
        <v>Tw</v>
      </c>
      <c r="L49" s="1"/>
      <c r="M49" s="1" t="s">
        <v>293</v>
      </c>
      <c r="N49" s="1"/>
      <c r="O49" s="1"/>
      <c r="P49" s="1"/>
      <c r="Q49" s="1"/>
      <c r="R49" s="1"/>
      <c r="S49" s="1"/>
      <c r="T49" s="1"/>
      <c r="U49" s="1"/>
      <c r="AC49" s="3"/>
    </row>
    <row r="50" spans="1:29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 t="str">
        <f>L40</f>
        <v>hw</v>
      </c>
      <c r="L50" s="1"/>
      <c r="M50" s="1" t="s">
        <v>294</v>
      </c>
      <c r="N50" s="1"/>
      <c r="O50" s="1"/>
      <c r="P50" s="1"/>
      <c r="Q50" s="1"/>
      <c r="R50" s="1"/>
      <c r="S50" s="1"/>
      <c r="T50" s="1"/>
      <c r="U50" s="1"/>
      <c r="AC50" s="3"/>
    </row>
    <row r="51" spans="1:33" ht="9.75" customHeight="1">
      <c r="A51" s="6"/>
      <c r="B51" s="6"/>
      <c r="K51" s="1" t="str">
        <f>N40</f>
        <v>hg</v>
      </c>
      <c r="M51" s="6" t="s">
        <v>295</v>
      </c>
      <c r="N51" s="6"/>
      <c r="O51" s="6"/>
      <c r="P51" s="6"/>
      <c r="Q51" s="6"/>
      <c r="R51" s="6"/>
      <c r="S51" s="6"/>
      <c r="T51" s="6"/>
      <c r="U51" s="6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29" ht="9.75" customHeight="1">
      <c r="A52" s="1"/>
      <c r="B52" s="1"/>
      <c r="M52" s="1"/>
      <c r="N52" s="1"/>
      <c r="O52" s="1"/>
      <c r="P52" s="1"/>
      <c r="Q52" s="1"/>
      <c r="R52" s="1"/>
      <c r="S52" s="1"/>
      <c r="T52" s="1"/>
      <c r="U52" s="1"/>
      <c r="AC52" s="3"/>
    </row>
    <row r="53" spans="1:29" ht="9.75" customHeight="1">
      <c r="A53" s="1"/>
      <c r="B53" s="1"/>
      <c r="M53" s="1"/>
      <c r="N53" s="1"/>
      <c r="O53" s="1"/>
      <c r="P53" s="6"/>
      <c r="Q53" s="1"/>
      <c r="R53" s="1"/>
      <c r="S53" s="1"/>
      <c r="T53" s="1"/>
      <c r="U53" s="1"/>
      <c r="AC53" s="3"/>
    </row>
    <row r="54" spans="1:28" ht="9.75" customHeight="1">
      <c r="A54" s="6"/>
      <c r="B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</row>
    <row r="55" spans="1:29" ht="9.75" customHeight="1">
      <c r="A55" s="6"/>
      <c r="B55" s="6"/>
      <c r="M55" s="6"/>
      <c r="N55" s="6"/>
      <c r="O55" s="6"/>
      <c r="P55" s="6"/>
      <c r="Q55" s="6"/>
      <c r="R55" s="6"/>
      <c r="S55" s="6"/>
      <c r="T55" s="6"/>
      <c r="U55" s="6"/>
      <c r="V55" s="3"/>
      <c r="W55" s="3"/>
      <c r="X55" s="3"/>
      <c r="Y55" s="3"/>
      <c r="Z55" s="3"/>
      <c r="AA55" s="3"/>
      <c r="AB55" s="3"/>
      <c r="AC55" s="3"/>
    </row>
    <row r="56" spans="1:28" ht="9.75" customHeight="1">
      <c r="A56" s="6"/>
      <c r="B56" s="6"/>
      <c r="M56" s="6"/>
      <c r="N56" s="6"/>
      <c r="O56" s="6"/>
      <c r="P56" s="6"/>
      <c r="Q56" s="6"/>
      <c r="R56" s="6"/>
      <c r="S56" s="6"/>
      <c r="T56" s="6"/>
      <c r="U56" s="6"/>
      <c r="V56" s="3"/>
      <c r="W56" s="3"/>
      <c r="X56" s="3"/>
      <c r="Y56" s="3"/>
      <c r="Z56" s="3"/>
      <c r="AA56" s="3"/>
      <c r="AB56" s="3"/>
    </row>
    <row r="57" spans="1:29" ht="9.75" customHeight="1">
      <c r="A57" s="6"/>
      <c r="B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</row>
    <row r="58" spans="1:29" ht="9.75" customHeight="1">
      <c r="A58" s="1"/>
      <c r="B58" s="1"/>
      <c r="M58" s="1"/>
      <c r="N58" s="1"/>
      <c r="O58" s="1"/>
      <c r="P58" s="1"/>
      <c r="Q58" s="1"/>
      <c r="R58" s="1"/>
      <c r="S58" s="1"/>
      <c r="T58" s="1"/>
      <c r="U58" s="1"/>
      <c r="AC58" s="3"/>
    </row>
    <row r="59" spans="1:29" ht="9.75" customHeight="1">
      <c r="A59" s="6"/>
      <c r="B59" s="6"/>
      <c r="M59" s="6"/>
      <c r="N59" s="6"/>
      <c r="O59" s="6"/>
      <c r="P59" s="6"/>
      <c r="Q59" s="6"/>
      <c r="R59" s="6"/>
      <c r="S59" s="6"/>
      <c r="T59" s="6"/>
      <c r="U59" s="6"/>
      <c r="V59" s="3"/>
      <c r="W59" s="3"/>
      <c r="X59" s="3"/>
      <c r="Y59" s="3"/>
      <c r="Z59" s="3"/>
      <c r="AA59" s="3"/>
      <c r="AB59" s="3"/>
      <c r="AC59" s="3"/>
    </row>
    <row r="60" spans="1:29" ht="9.75" customHeight="1">
      <c r="A60" s="6"/>
      <c r="B60" s="6"/>
      <c r="M60" s="6"/>
      <c r="N60" s="6"/>
      <c r="O60" s="6"/>
      <c r="P60" s="6"/>
      <c r="Q60" s="6"/>
      <c r="R60" s="6"/>
      <c r="S60" s="6"/>
      <c r="T60" s="6"/>
      <c r="U60" s="6"/>
      <c r="V60" s="3"/>
      <c r="W60" s="3"/>
      <c r="X60" s="3"/>
      <c r="Y60" s="3"/>
      <c r="Z60" s="3"/>
      <c r="AA60" s="3"/>
      <c r="AB60" s="3"/>
      <c r="AC60" s="3"/>
    </row>
    <row r="61" spans="1:29" ht="9.75" customHeight="1">
      <c r="A61" s="1"/>
      <c r="B61" s="1"/>
      <c r="M61" s="1"/>
      <c r="N61" s="1"/>
      <c r="O61" s="1"/>
      <c r="P61" s="1"/>
      <c r="Q61" s="1"/>
      <c r="R61" s="1"/>
      <c r="S61" s="1"/>
      <c r="T61" s="1"/>
      <c r="U61" s="1"/>
      <c r="AC61" s="3"/>
    </row>
    <row r="62" spans="1:29" ht="9.75" customHeight="1">
      <c r="A62" s="1"/>
      <c r="B62" s="1"/>
      <c r="M62" s="1"/>
      <c r="N62" s="1"/>
      <c r="O62" s="1"/>
      <c r="P62" s="1"/>
      <c r="Q62" s="1"/>
      <c r="R62" s="1"/>
      <c r="S62" s="1"/>
      <c r="T62" s="1"/>
      <c r="U62" s="1"/>
      <c r="AC62" s="3"/>
    </row>
    <row r="63" spans="1:29" ht="9.75" customHeight="1">
      <c r="A63" s="1"/>
      <c r="B63" s="1"/>
      <c r="M63" s="1"/>
      <c r="N63" s="1"/>
      <c r="O63" s="1"/>
      <c r="P63" s="1"/>
      <c r="Q63" s="1"/>
      <c r="R63" s="1"/>
      <c r="S63" s="1"/>
      <c r="T63" s="1"/>
      <c r="U63" s="1"/>
      <c r="AC63" s="3"/>
    </row>
    <row r="64" spans="1:29" ht="9.75" customHeight="1">
      <c r="A64" s="6"/>
      <c r="B64" s="6"/>
      <c r="M64" s="6"/>
      <c r="N64" s="6"/>
      <c r="O64" s="6"/>
      <c r="P64" s="6"/>
      <c r="Q64" s="6"/>
      <c r="R64" s="6"/>
      <c r="S64" s="6"/>
      <c r="T64" s="6"/>
      <c r="U64" s="6"/>
      <c r="V64" s="3"/>
      <c r="W64" s="3"/>
      <c r="X64" s="3"/>
      <c r="Y64" s="3"/>
      <c r="Z64" s="3"/>
      <c r="AA64" s="3"/>
      <c r="AB64" s="3"/>
      <c r="AC64" s="3"/>
    </row>
    <row r="65" spans="1:29" ht="9.75" customHeight="1">
      <c r="A65" s="1"/>
      <c r="B65" s="1"/>
      <c r="M65" s="1"/>
      <c r="N65" s="1"/>
      <c r="O65" s="1"/>
      <c r="P65" s="1"/>
      <c r="Q65" s="1"/>
      <c r="R65" s="1"/>
      <c r="S65" s="1"/>
      <c r="T65" s="1"/>
      <c r="U65" s="1"/>
      <c r="AC65" s="3"/>
    </row>
    <row r="66" spans="1:29" ht="9.75" customHeight="1">
      <c r="A66" s="1"/>
      <c r="B66" s="1"/>
      <c r="M66" s="1"/>
      <c r="N66" s="1"/>
      <c r="O66" s="1"/>
      <c r="P66" s="1"/>
      <c r="Q66" s="1"/>
      <c r="R66" s="1"/>
      <c r="S66" s="1"/>
      <c r="T66" s="1"/>
      <c r="U66" s="1"/>
      <c r="AC66" s="3"/>
    </row>
    <row r="67" spans="1:29" ht="9.75" customHeight="1">
      <c r="A67" s="6"/>
      <c r="B67" s="6"/>
      <c r="M67" s="6"/>
      <c r="N67" s="6"/>
      <c r="O67" s="6"/>
      <c r="P67" s="6"/>
      <c r="Q67" s="6"/>
      <c r="R67" s="6"/>
      <c r="S67" s="6"/>
      <c r="T67" s="6"/>
      <c r="U67" s="6"/>
      <c r="V67" s="3"/>
      <c r="W67" s="3"/>
      <c r="X67" s="3"/>
      <c r="Y67" s="3"/>
      <c r="Z67" s="3"/>
      <c r="AA67" s="3"/>
      <c r="AB67" s="3"/>
      <c r="AC67" s="3"/>
    </row>
    <row r="68" spans="1:29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C68" s="3"/>
    </row>
    <row r="69" spans="1:28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"/>
      <c r="W69" s="3"/>
      <c r="X69" s="3"/>
      <c r="Y69" s="3"/>
      <c r="Z69" s="3"/>
      <c r="AA69" s="3"/>
      <c r="AB69" s="3"/>
    </row>
    <row r="70" spans="1:28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</row>
    <row r="71" spans="1:29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"/>
      <c r="U71" s="3"/>
      <c r="V71" s="6"/>
      <c r="W71" s="6"/>
      <c r="X71" s="3"/>
      <c r="Y71" s="3"/>
      <c r="Z71" s="3"/>
      <c r="AC71" s="3"/>
    </row>
    <row r="72" spans="1:29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3"/>
      <c r="W72" s="3"/>
      <c r="X72" s="3"/>
      <c r="Y72" s="3"/>
      <c r="Z72" s="3"/>
      <c r="AA72" s="3"/>
      <c r="AB72" s="3"/>
      <c r="AC72" s="3"/>
    </row>
    <row r="73" spans="1:29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AC73" s="3"/>
    </row>
    <row r="74" spans="1:29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  <c r="X74" s="3"/>
      <c r="Y74" s="3"/>
      <c r="Z74" s="3"/>
      <c r="AA74" s="3"/>
      <c r="AB74" s="3"/>
      <c r="AC74" s="3"/>
    </row>
    <row r="75" spans="1:34" ht="9.75" customHeight="1">
      <c r="A75" s="12" t="s">
        <v>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3" t="s">
        <v>4</v>
      </c>
    </row>
    <row r="117" ht="13.5" customHeight="1"/>
    <row r="118" ht="13.5" customHeight="1"/>
  </sheetData>
  <mergeCells count="5">
    <mergeCell ref="AE4:AF4"/>
    <mergeCell ref="I38:K38"/>
    <mergeCell ref="AC1:AH1"/>
    <mergeCell ref="A2:X4"/>
    <mergeCell ref="AC2:AH2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H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34" width="2.3359375" style="2" customWidth="1"/>
    <col min="35" max="63" width="4.3359375" style="2" customWidth="1"/>
    <col min="64" max="16384" width="8.88671875" style="2" customWidth="1"/>
  </cols>
  <sheetData>
    <row r="1" spans="1:34" ht="9.75" customHeight="1">
      <c r="A1" s="77"/>
      <c r="B1" s="103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104" t="s">
        <v>229</v>
      </c>
      <c r="Z1" s="105"/>
      <c r="AA1" s="106"/>
      <c r="AB1" s="105"/>
      <c r="AC1" s="173" t="str">
        <f>docno</f>
        <v>TM - PSY - 200</v>
      </c>
      <c r="AD1" s="164"/>
      <c r="AE1" s="164"/>
      <c r="AF1" s="164"/>
      <c r="AG1" s="164"/>
      <c r="AH1" s="164"/>
    </row>
    <row r="2" spans="1:34" ht="9.75" customHeight="1">
      <c r="A2" s="167" t="str">
        <f>title</f>
        <v>P S Y C H R O M E T R I C S   :     P R O C E S S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/>
      <c r="Y2" s="107" t="s">
        <v>235</v>
      </c>
      <c r="Z2" s="17"/>
      <c r="AA2" s="108"/>
      <c r="AB2" s="17"/>
      <c r="AC2" s="174" t="s">
        <v>236</v>
      </c>
      <c r="AD2" s="165"/>
      <c r="AE2" s="165"/>
      <c r="AF2" s="165"/>
      <c r="AG2" s="165"/>
      <c r="AH2" s="165"/>
    </row>
    <row r="3" spans="1:34" ht="9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09" t="s">
        <v>237</v>
      </c>
      <c r="Z3" s="68"/>
      <c r="AA3" s="68"/>
      <c r="AB3" s="68"/>
      <c r="AC3" s="110">
        <v>0</v>
      </c>
      <c r="AD3" s="111">
        <v>1</v>
      </c>
      <c r="AE3" s="111"/>
      <c r="AF3" s="111"/>
      <c r="AG3" s="111"/>
      <c r="AH3" s="112"/>
    </row>
    <row r="4" spans="1:34" ht="9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13" t="s">
        <v>238</v>
      </c>
      <c r="Z4" s="114"/>
      <c r="AA4" s="115"/>
      <c r="AB4" s="114"/>
      <c r="AC4" s="116"/>
      <c r="AD4" s="117">
        <v>2</v>
      </c>
      <c r="AE4" s="171" t="s">
        <v>239</v>
      </c>
      <c r="AF4" s="171"/>
      <c r="AG4" s="120">
        <f>sheetqty</f>
        <v>5</v>
      </c>
      <c r="AH4" s="119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1" ht="9.75" customHeight="1">
      <c r="A6" s="1"/>
      <c r="B6" s="1"/>
      <c r="C6" s="1"/>
      <c r="AE6" s="1"/>
    </row>
    <row r="7" spans="1:34" ht="9.75" customHeight="1">
      <c r="A7" s="6"/>
      <c r="B7" s="1"/>
      <c r="C7" s="6"/>
      <c r="D7" s="6"/>
      <c r="E7" s="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Y7" s="6"/>
      <c r="AH7" s="3"/>
    </row>
    <row r="8" spans="1:33" ht="9.75" customHeight="1">
      <c r="A8" s="6"/>
      <c r="B8" s="6"/>
      <c r="C8" s="11" t="s">
        <v>18</v>
      </c>
      <c r="D8" s="14" t="s">
        <v>19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6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C10" s="3"/>
      <c r="AJ10" s="1"/>
      <c r="AK10" s="1"/>
      <c r="AL10" s="1"/>
      <c r="AM10" s="1"/>
      <c r="AN10" s="1"/>
      <c r="AO10" s="1"/>
      <c r="AP10" s="1"/>
      <c r="AQ10" s="1"/>
      <c r="AR10" s="1"/>
      <c r="AS10" s="8" t="s">
        <v>20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H10" s="1"/>
    </row>
    <row r="11" spans="1:6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  <c r="AJ11" s="23" t="s">
        <v>21</v>
      </c>
      <c r="AK11" s="137" t="str">
        <f>"Rh "&amp;AJ12&amp;" %"</f>
        <v>Rh 100 %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H11" s="1"/>
    </row>
    <row r="12" spans="1:60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  <c r="AJ12" s="20">
        <v>100</v>
      </c>
      <c r="AK12" s="36">
        <f>maprop(AK33,AO34,AJ12,AM35,AO35,8)</f>
        <v>0.0037749258179982426</v>
      </c>
      <c r="AL12" s="37">
        <f>maprop(AL33,AO34,AJ12,AM35,AO35,8)</f>
        <v>0.004364355877134278</v>
      </c>
      <c r="AM12" s="37">
        <f>maprop(AM33,AO34,AJ12,AM35,AO35,8)</f>
        <v>0.005034650578378098</v>
      </c>
      <c r="AN12" s="38">
        <f>maprop(AN33,AO34,AJ12,AM35,AO35,8)</f>
        <v>0.0057954300716463614</v>
      </c>
      <c r="AO12" s="36">
        <f>maprop(AO33,AO34,AJ12,AM35,AO35,8)</f>
        <v>0.0066573106198459745</v>
      </c>
      <c r="AP12" s="37">
        <f>maprop(AP33,AO34,AJ12,AM35,AO35,8)</f>
        <v>0.007632001781251899</v>
      </c>
      <c r="AQ12" s="37">
        <f>maprop(AQ33,AO34,AJ12,AM35,AO35,8)</f>
        <v>0.008732415028826775</v>
      </c>
      <c r="AR12" s="39">
        <f>maprop(AR33,AO34,AJ12,AM35,AO35,8)</f>
        <v>0.00997278575327187</v>
      </c>
      <c r="AS12" s="40">
        <f>maprop(AS33,AO34,AJ12,AM35,AO35,8)</f>
        <v>0.01136881099561021</v>
      </c>
      <c r="AT12" s="37">
        <f>maprop(AT33,AO34,AJ12,AM35,AO35,8)</f>
        <v>0.012937805740822516</v>
      </c>
      <c r="AU12" s="37">
        <f>maprop(AU33,AO34,AJ12,AM35,AO35,8)</f>
        <v>0.014698881197560866</v>
      </c>
      <c r="AV12" s="38">
        <f>maprop(AV33,AO34,AJ12,AM35,AO35,8)</f>
        <v>0.01667314921725282</v>
      </c>
      <c r="AW12" s="36">
        <f>maprop(AW33,AO34,AJ12,AM35,AO35,8)</f>
        <v>0.0188839579038717</v>
      </c>
      <c r="AX12" s="37">
        <f>maprop(AX33,AO34,AJ12,AM35,AO35,8)</f>
        <v>0.021357164578575335</v>
      </c>
      <c r="AY12" s="37">
        <f>maprop(AY33,AO34,AJ12,AM35,AO35,8)</f>
        <v>0.02412145365054236</v>
      </c>
      <c r="AZ12" s="39">
        <f>maprop(AZ33,AO34,AJ12,AM35,AO35,8)</f>
        <v>0.02720870868459612</v>
      </c>
      <c r="BA12" s="40">
        <f>maprop(BA33,AO34,AJ12,AM35,AO35,8)</f>
        <v>0.030654450150886553</v>
      </c>
      <c r="BB12" s="37">
        <f>maprop(BB33,AO34,AJ12,AM35,AO35,8)</f>
        <v>0.034498353129851875</v>
      </c>
      <c r="BC12" s="37">
        <f>maprop(BC33,AO34,AJ12,AM35,AO35,8)</f>
        <v>0.03878486281228556</v>
      </c>
      <c r="BD12" s="38">
        <f>maprop(BD33,AO34,AJ12,AM35,AO35,8)</f>
        <v>0.04356393023094749</v>
      </c>
      <c r="BE12" s="41">
        <f>maprop(BE33,AO34,AJ12,AM35,AO35,8)</f>
        <v>0.04889189663047125</v>
      </c>
      <c r="BH12" s="1"/>
    </row>
    <row r="13" spans="1:60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  <c r="AJ13" s="16">
        <f>AJ32+(AJ12-AJ32)/20*19</f>
        <v>95</v>
      </c>
      <c r="AK13" s="42">
        <f>maprop(AK33,AO34,AJ13,AM35,AO35,8)</f>
        <v>0.003585091585384782</v>
      </c>
      <c r="AL13" s="43">
        <f>maprop(AL33,AO34,AJ13,AM35,AO35,8)</f>
        <v>0.004144683935557771</v>
      </c>
      <c r="AM13" s="43">
        <f>maprop(AM33,AO34,AJ13,AM35,AO35,8)</f>
        <v>0.004780983038229801</v>
      </c>
      <c r="AN13" s="44">
        <f>maprop(AN33,AO34,AJ13,AM35,AO35,8)</f>
        <v>0.005503094735782416</v>
      </c>
      <c r="AO13" s="42">
        <f>maprop(AO33,AO34,AJ13,AM35,AO35,8)</f>
        <v>0.00632106221472936</v>
      </c>
      <c r="AP13" s="43">
        <f>maprop(AP33,AO34,AJ13,AM35,AO35,8)</f>
        <v>0.007245956084724996</v>
      </c>
      <c r="AQ13" s="43">
        <f>maprop(AQ33,AO34,AJ13,AM35,AO35,8)</f>
        <v>0.008289974792685584</v>
      </c>
      <c r="AR13" s="45">
        <f>maprop(AR33,AO34,AJ13,AM35,AO35,8)</f>
        <v>0.009466557099558001</v>
      </c>
      <c r="AS13" s="46">
        <f>maprop(AS33,AO34,AJ13,AM35,AO35,8)</f>
        <v>0.010790508697438377</v>
      </c>
      <c r="AT13" s="43">
        <f>maprop(AT33,AO34,AJ13,AM35,AO35,8)</f>
        <v>0.012278145469789645</v>
      </c>
      <c r="AU13" s="43">
        <f>maprop(AU33,AO34,AJ13,AM35,AO35,8)</f>
        <v>0.013947456415252125</v>
      </c>
      <c r="AV13" s="44">
        <f>maprop(AV33,AO34,AJ13,AM35,AO35,8)</f>
        <v>0.015818289888724343</v>
      </c>
      <c r="AW13" s="42">
        <f>maprop(AW33,AO34,AJ13,AM35,AO35,8)</f>
        <v>0.01791256759126985</v>
      </c>
      <c r="AX13" s="43">
        <f>maprop(AX33,AO34,AJ13,AM35,AO35,8)</f>
        <v>0.020254531700807404</v>
      </c>
      <c r="AY13" s="43">
        <f>maprop(AY33,AO34,AJ13,AM35,AO35,8)</f>
        <v>0.02287103172767617</v>
      </c>
      <c r="AZ13" s="45">
        <f>maprop(AZ33,AO34,AJ13,AM35,AO35,8)</f>
        <v>0.025791859167535666</v>
      </c>
      <c r="BA13" s="46">
        <f>maprop(BA33,AO34,AJ13,AM35,AO35,8)</f>
        <v>0.02905013989363144</v>
      </c>
      <c r="BB13" s="43">
        <f>maprop(BB33,AO34,AJ13,AM35,AO35,8)</f>
        <v>0.03268279659412754</v>
      </c>
      <c r="BC13" s="43">
        <f>maprop(BC33,AO34,AJ13,AM35,AO35,8)</f>
        <v>0.036731096568887324</v>
      </c>
      <c r="BD13" s="44">
        <f>maprop(BD33,AO34,AJ13,AM35,AO35,8)</f>
        <v>0.04124130405721764</v>
      </c>
      <c r="BE13" s="47">
        <f>maprop(BE33,AO34,AJ13,AM35,AO35,8)</f>
        <v>0.04626546125012563</v>
      </c>
      <c r="BH13" s="1"/>
    </row>
    <row r="14" spans="1:60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AC14" s="3"/>
      <c r="AJ14" s="16">
        <f>AJ32+(AJ12-AJ32)/20*18</f>
        <v>90</v>
      </c>
      <c r="AK14" s="48">
        <f>maprop(AK33,AO34,AJ14,AM35,AO35,8)</f>
        <v>0.003395372498119332</v>
      </c>
      <c r="AL14" s="49">
        <f>maprop(AL33,AO34,AJ14,AM35,AO35,8)</f>
        <v>0.0039251660281463515</v>
      </c>
      <c r="AM14" s="49">
        <f>maprop(AM33,AO34,AJ14,AM35,AO35,8)</f>
        <v>0.004527520666153537</v>
      </c>
      <c r="AN14" s="50">
        <f>maprop(AN33,AO34,AJ14,AM35,AO35,8)</f>
        <v>0.005211031538084403</v>
      </c>
      <c r="AO14" s="48">
        <f>maprop(AO33,AO34,AJ14,AM35,AO35,8)</f>
        <v>0.005985173328245705</v>
      </c>
      <c r="AP14" s="49">
        <f>maprop(AP33,AO34,AJ14,AM35,AO35,8)</f>
        <v>0.006860383508460899</v>
      </c>
      <c r="AQ14" s="49">
        <f>maprop(AQ33,AO34,AJ14,AM35,AO35,8)</f>
        <v>0.007848154863452922</v>
      </c>
      <c r="AR14" s="51">
        <f>maprop(AR33,AO34,AJ14,AM35,AO35,8)</f>
        <v>0.008961138836394085</v>
      </c>
      <c r="AS14" s="52">
        <f>maprop(AS33,AO34,AJ14,AM35,AO35,8)</f>
        <v>0.010213261524014323</v>
      </c>
      <c r="AT14" s="49">
        <f>maprop(AT33,AO34,AJ14,AM35,AO35,8)</f>
        <v>0.011619854520354548</v>
      </c>
      <c r="AU14" s="49">
        <f>maprop(AU33,AO34,AJ14,AM35,AO35,8)</f>
        <v>0.013197803257137972</v>
      </c>
      <c r="AV14" s="50">
        <f>maprop(AV33,AO34,AJ14,AM35,AO35,8)</f>
        <v>0.014965716035823211</v>
      </c>
      <c r="AW14" s="48">
        <f>maprop(AW33,AO34,AJ14,AM35,AO35,8)</f>
        <v>0.016944117616040907</v>
      </c>
      <c r="AX14" s="49">
        <f>maprop(AX33,AO34,AJ14,AM35,AO35,8)</f>
        <v>0.019155672048616148</v>
      </c>
      <c r="AY14" s="49">
        <f>maprop(AY33,AO34,AJ14,AM35,AO35,8)</f>
        <v>0.021625440459341054</v>
      </c>
      <c r="AZ14" s="51">
        <f>maprop(AZ33,AO34,AJ14,AM35,AO35,8)</f>
        <v>0.024381180754954254</v>
      </c>
      <c r="BA14" s="52">
        <f>maprop(BA33,AO34,AJ14,AM35,AO35,8)</f>
        <v>0.02745369780479827</v>
      </c>
      <c r="BB14" s="49">
        <f>maprop(BB33,AO34,AJ14,AM35,AO35,8)</f>
        <v>0.03087725464197634</v>
      </c>
      <c r="BC14" s="49">
        <f>maprop(BC33,AO34,AJ14,AM35,AO35,8)</f>
        <v>0.034690057748325134</v>
      </c>
      <c r="BD14" s="50">
        <f>maprop(BD33,AO34,AJ14,AM35,AO35,8)</f>
        <v>0.03893483270140005</v>
      </c>
      <c r="BE14" s="53">
        <f>maprop(BE33,AO34,AJ14,AM35,AO35,8)</f>
        <v>0.043659510589290726</v>
      </c>
      <c r="BH14" s="1"/>
    </row>
    <row r="15" spans="1:60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"/>
      <c r="W15" s="3"/>
      <c r="X15" s="3"/>
      <c r="Y15" s="3"/>
      <c r="Z15" s="3"/>
      <c r="AA15" s="3"/>
      <c r="AB15" s="3"/>
      <c r="AC15" s="3"/>
      <c r="AJ15" s="16">
        <f>AJ32+(AJ12-AJ32)/20*17</f>
        <v>85</v>
      </c>
      <c r="AK15" s="48">
        <f>maprop(AK33,AO34,AJ15,AM35,AO35,8)</f>
        <v>0.00320576845147</v>
      </c>
      <c r="AL15" s="49">
        <f>maprop(AL33,AO34,AJ15,AM35,AO35,8)</f>
        <v>0.003705801992943187</v>
      </c>
      <c r="AM15" s="49">
        <f>maprop(AM33,AO34,AJ15,AM35,AO35,8)</f>
        <v>0.004274263213338014</v>
      </c>
      <c r="AN15" s="50">
        <f>maprop(AN33,AO34,AJ15,AM35,AO35,8)</f>
        <v>0.00491924009872479</v>
      </c>
      <c r="AO15" s="48">
        <f>maprop(AO33,AO34,AJ15,AM35,AO35,8)</f>
        <v>0.005649643384103889</v>
      </c>
      <c r="AP15" s="49">
        <f>maprop(AP33,AO34,AJ15,AM35,AO35,8)</f>
        <v>0.006475283183239566</v>
      </c>
      <c r="AQ15" s="49">
        <f>maprop(AQ33,AO34,AJ15,AM35,AO35,8)</f>
        <v>0.0074069539375254834</v>
      </c>
      <c r="AR15" s="51">
        <f>maprop(AR33,AO34,AJ15,AM35,AO35,8)</f>
        <v>0.008456529019379586</v>
      </c>
      <c r="AS15" s="52">
        <f>maprop(AS33,AO34,AJ15,AM35,AO35,8)</f>
        <v>0.00963706659032388</v>
      </c>
      <c r="AT15" s="49">
        <f>maprop(AT33,AO34,AJ15,AM35,AO35,8)</f>
        <v>0.010962928633284933</v>
      </c>
      <c r="AU15" s="49">
        <f>maprop(AU33,AO34,AJ15,AM35,AO35,8)</f>
        <v>0.012449915465193227</v>
      </c>
      <c r="AV15" s="50">
        <f>maprop(AV33,AO34,AJ15,AM35,AO35,8)</f>
        <v>0.014115418505419627</v>
      </c>
      <c r="AW15" s="48">
        <f>maprop(AW33,AO34,AJ15,AM35,AO35,8)</f>
        <v>0.015978594648034947</v>
      </c>
      <c r="AX15" s="49">
        <f>maprop(AX33,AO34,AJ15,AM35,AO35,8)</f>
        <v>0.018060566287035347</v>
      </c>
      <c r="AY15" s="49">
        <f>maprop(AY33,AO34,AJ15,AM35,AO35,8)</f>
        <v>0.020384651906684863</v>
      </c>
      <c r="AZ15" s="51">
        <f>maprop(AZ33,AO34,AJ15,AM35,AO35,8)</f>
        <v>0.022976633216987008</v>
      </c>
      <c r="BA15" s="52">
        <f>maprop(BA33,AO34,AJ15,AM35,AO35,8)</f>
        <v>0.025865066143091874</v>
      </c>
      <c r="BB15" s="49">
        <f>maprop(BB33,AO34,AJ15,AM35,AO35,8)</f>
        <v>0.029081644640851313</v>
      </c>
      <c r="BC15" s="49">
        <f>maprop(BC33,AO34,AJ15,AM35,AO35,8)</f>
        <v>0.032661628406127956</v>
      </c>
      <c r="BD15" s="50">
        <f>maprop(BD33,AO34,AJ15,AM35,AO35,8)</f>
        <v>0.03664434820253417</v>
      </c>
      <c r="BE15" s="53">
        <f>maprop(BE33,AO34,AJ15,AM35,AO35,8)</f>
        <v>0.04107380592497396</v>
      </c>
      <c r="BH15" s="1"/>
    </row>
    <row r="16" spans="1:60" ht="9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3"/>
      <c r="W16" s="3"/>
      <c r="X16" s="3"/>
      <c r="Y16" s="3"/>
      <c r="Z16" s="3"/>
      <c r="AA16" s="3"/>
      <c r="AB16" s="3"/>
      <c r="AC16" s="3"/>
      <c r="AJ16" s="16">
        <f>AJ32+(AJ12-AJ32)/20*16</f>
        <v>80</v>
      </c>
      <c r="AK16" s="36">
        <f>maprop(AK33,AO34,AJ16,AM35,AO35,8)</f>
        <v>0.0030162793408324085</v>
      </c>
      <c r="AL16" s="37">
        <f>maprop(AL33,AO34,AJ16,AM35,AO35,8)</f>
        <v>0.0034865916682189544</v>
      </c>
      <c r="AM16" s="37">
        <f>maprop(AM33,AO34,AJ16,AM35,AO35,8)</f>
        <v>0.004021210431373693</v>
      </c>
      <c r="AN16" s="38">
        <f>maprop(AN33,AO34,AJ16,AM35,AO35,8)</f>
        <v>0.004627720038582012</v>
      </c>
      <c r="AO16" s="36">
        <f>maprop(AO33,AO34,AJ16,AM35,AO35,8)</f>
        <v>0.005314471807244373</v>
      </c>
      <c r="AP16" s="37">
        <f>maprop(AP33,AO34,AJ16,AM35,AO35,8)</f>
        <v>0.00609065424196931</v>
      </c>
      <c r="AQ16" s="37">
        <f>maprop(AQ33,AO34,AJ16,AM35,AO35,8)</f>
        <v>0.0069663707149497794</v>
      </c>
      <c r="AR16" s="39">
        <f>maprop(AR33,AO34,AJ16,AM35,AO35,8)</f>
        <v>0.007952725710328816</v>
      </c>
      <c r="AS16" s="40">
        <f>maprop(AS33,AO34,AJ16,AM35,AO35,8)</f>
        <v>0.009061921021861244</v>
      </c>
      <c r="AT16" s="37">
        <f>maprop(AT33,AO34,AJ16,AM35,AO35,8)</f>
        <v>0.010307363566994495</v>
      </c>
      <c r="AU16" s="37">
        <f>maprop(AU33,AO34,AJ16,AM35,AO35,8)</f>
        <v>0.011703786810832797</v>
      </c>
      <c r="AV16" s="38">
        <f>maprop(AV33,AO34,AJ16,AM35,AO35,8)</f>
        <v>0.013267388193194707</v>
      </c>
      <c r="AW16" s="36">
        <f>maprop(AW33,AO34,AJ16,AM35,AO35,8)</f>
        <v>0.015015985437557982</v>
      </c>
      <c r="AX16" s="37">
        <f>maprop(AX33,AO34,AJ16,AM35,AO35,8)</f>
        <v>0.01696919521297699</v>
      </c>
      <c r="AY16" s="37">
        <f>maprop(AY33,AO34,AJ16,AM35,AO35,8)</f>
        <v>0.019148638345892536</v>
      </c>
      <c r="AZ16" s="39">
        <f>maprop(AZ33,AO34,AJ16,AM35,AO35,8)</f>
        <v>0.02157817667269285</v>
      </c>
      <c r="BA16" s="40">
        <f>maprop(BA33,AO34,AJ16,AM35,AO35,8)</f>
        <v>0.02428418773082466</v>
      </c>
      <c r="BB16" s="37">
        <f>maprop(BB33,AO34,AJ16,AM35,AO35,8)</f>
        <v>0.02729588486480438</v>
      </c>
      <c r="BC16" s="37">
        <f>maprop(BC33,AO34,AJ16,AM35,AO35,8)</f>
        <v>0.030645692050651735</v>
      </c>
      <c r="BD16" s="38">
        <f>maprop(BD33,AO34,AJ16,AM35,AO35,8)</f>
        <v>0.03436968491999514</v>
      </c>
      <c r="BE16" s="41">
        <f>maprop(BE33,AO34,AJ16,AM35,AO35,8)</f>
        <v>0.03850811222917441</v>
      </c>
      <c r="BH16" s="1"/>
    </row>
    <row r="17" spans="1:60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AC17" s="3"/>
      <c r="AJ17" s="16">
        <f>AJ32+(AJ12-AJ32)/20*15</f>
        <v>75</v>
      </c>
      <c r="AK17" s="42">
        <f>maprop(AK33,AO34,AJ17,AM35,AO35,8)</f>
        <v>0.002826905061728423</v>
      </c>
      <c r="AL17" s="43">
        <f>maprop(AL33,AO34,AJ17,AM35,AO35,8)</f>
        <v>0.0032675348924703614</v>
      </c>
      <c r="AM17" s="43">
        <f>maprop(AM33,AO34,AJ17,AM35,AO35,8)</f>
        <v>0.003768362072252778</v>
      </c>
      <c r="AN17" s="44">
        <f>maprop(AN33,AO34,AJ17,AM35,AO35,8)</f>
        <v>0.004336470979239919</v>
      </c>
      <c r="AO17" s="42">
        <f>maprop(AO33,AO34,AJ17,AM35,AO35,8)</f>
        <v>0.004979658023834815</v>
      </c>
      <c r="AP17" s="43">
        <f>maprop(AP33,AO34,AJ17,AM35,AO35,8)</f>
        <v>0.0057064958196798785</v>
      </c>
      <c r="AQ17" s="43">
        <f>maprop(AQ33,AO34,AJ17,AM35,AO35,8)</f>
        <v>0.006526403899409766</v>
      </c>
      <c r="AR17" s="45">
        <f>maprop(AR33,AO34,AJ17,AM35,AO35,8)</f>
        <v>0.007449726977247217</v>
      </c>
      <c r="AS17" s="46">
        <f>maprop(AS33,AO34,AJ17,AM35,AO35,8)</f>
        <v>0.008487821954581174</v>
      </c>
      <c r="AT17" s="43">
        <f>maprop(AT33,AO34,AJ17,AM35,AO35,8)</f>
        <v>0.009653155097451616</v>
      </c>
      <c r="AU17" s="43">
        <f>maprop(AU33,AO34,AJ17,AM35,AO35,8)</f>
        <v>0.010959411094737616</v>
      </c>
      <c r="AV17" s="44">
        <f>maprop(AV33,AO34,AJ17,AM35,AO35,8)</f>
        <v>0.012421616043316677</v>
      </c>
      <c r="AW17" s="42">
        <f>maprop(AW33,AO34,AJ17,AM35,AO35,8)</f>
        <v>0.014056276814765454</v>
      </c>
      <c r="AX17" s="43">
        <f>maprop(AX33,AO34,AJ17,AM35,AO35,8)</f>
        <v>0.015881539754107957</v>
      </c>
      <c r="AY17" s="43">
        <f>maprop(AY33,AO34,AJ17,AM35,AO35,8)</f>
        <v>0.017917372266121133</v>
      </c>
      <c r="AZ17" s="45">
        <f>maprop(AZ33,AO34,AJ17,AM35,AO35,8)</f>
        <v>0.02018577158627946</v>
      </c>
      <c r="BA17" s="46">
        <f>maprop(BA33,AO34,AJ17,AM35,AO35,8)</f>
        <v>0.0227110059470573</v>
      </c>
      <c r="BB17" s="43">
        <f>maprop(BB33,AO34,AJ17,AM35,AO35,8)</f>
        <v>0.02551989448208715</v>
      </c>
      <c r="BC17" s="43">
        <f>maprop(BC33,AO34,AJ17,AM35,AO35,8)</f>
        <v>0.028642133620778904</v>
      </c>
      <c r="BD17" s="44">
        <f>maprop(BD33,AO34,AJ17,AM35,AO35,8)</f>
        <v>0.03211067949356354</v>
      </c>
      <c r="BE17" s="47">
        <f>maprop(BE33,AO34,AJ17,AM35,AO35,8)</f>
        <v>0.03596219809766856</v>
      </c>
      <c r="BH17" s="1"/>
    </row>
    <row r="18" spans="1:60" ht="9.75" customHeight="1">
      <c r="A18" s="6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E18" s="1"/>
      <c r="AJ18" s="16">
        <f>AJ32+(AJ12-AJ32)/20*14</f>
        <v>70</v>
      </c>
      <c r="AK18" s="48">
        <f>maprop(AK33,AO34,AJ18,AM35,AO35,8)</f>
        <v>0.002637645509807038</v>
      </c>
      <c r="AL18" s="49">
        <f>maprop(AL33,AO34,AJ18,AM35,AO35,8)</f>
        <v>0.0030486315044208306</v>
      </c>
      <c r="AM18" s="49">
        <f>maprop(AM33,AO34,AJ18,AM35,AO35,8)</f>
        <v>0.0035157178883678765</v>
      </c>
      <c r="AN18" s="50">
        <f>maprop(AN33,AO34,AJ18,AM35,AO35,8)</f>
        <v>0.0040454925429850574</v>
      </c>
      <c r="AO18" s="48">
        <f>maprop(AO33,AO34,AJ18,AM35,AO35,8)</f>
        <v>0.0046452014612678874</v>
      </c>
      <c r="AP18" s="49">
        <f>maprop(AP33,AO34,AJ18,AM35,AO35,8)</f>
        <v>0.0053228070535155676</v>
      </c>
      <c r="AQ18" s="49">
        <f>maprop(AQ33,AO34,AJ18,AM35,AO35,8)</f>
        <v>0.006087052198214554</v>
      </c>
      <c r="AR18" s="51">
        <f>maprop(AR33,AO34,AJ18,AM35,AO35,8)</f>
        <v>0.006947530894305565</v>
      </c>
      <c r="AS18" s="52">
        <f>maprop(AS33,AO34,AJ18,AM35,AO35,8)</f>
        <v>0.007914766534851457</v>
      </c>
      <c r="AT18" s="49">
        <f>maprop(AT33,AO34,AJ18,AM35,AO35,8)</f>
        <v>0.009000299018088659</v>
      </c>
      <c r="AU18" s="49">
        <f>maprop(AU33,AO34,AJ18,AM35,AO35,8)</f>
        <v>0.010216782146683962</v>
      </c>
      <c r="AV18" s="50">
        <f>maprop(AV33,AO34,AJ18,AM35,AO35,8)</f>
        <v>0.011578093048117398</v>
      </c>
      <c r="AW18" s="48">
        <f>maprop(AW33,AO34,AJ18,AM35,AO35,8)</f>
        <v>0.013099455689061205</v>
      </c>
      <c r="AX18" s="49">
        <f>maprop(AX33,AO34,AJ18,AM35,AO35,8)</f>
        <v>0.01479758096773943</v>
      </c>
      <c r="AY18" s="49">
        <f>maprop(AY33,AO34,AJ18,AM35,AO35,8)</f>
        <v>0.01669082636745887</v>
      </c>
      <c r="AZ18" s="51">
        <f>maprop(AZ33,AO34,AJ18,AM35,AO35,8)</f>
        <v>0.018799378763377644</v>
      </c>
      <c r="BA18" s="52">
        <f>maprop(BA33,AO34,AJ18,AM35,AO35,8)</f>
        <v>0.02114546472083824</v>
      </c>
      <c r="BB18" s="49">
        <f>maprop(BB33,AO34,AJ18,AM35,AO35,8)</f>
        <v>0.023753593542954733</v>
      </c>
      <c r="BC18" s="49">
        <f>maprop(BC33,AO34,AJ18,AM35,AO35,8)</f>
        <v>0.026650839464026306</v>
      </c>
      <c r="BD18" s="50">
        <f>maprop(BD33,AO34,AJ18,AM35,AO35,8)</f>
        <v>0.02986717080431636</v>
      </c>
      <c r="BE18" s="53">
        <f>maprop(BE33,AO34,AJ18,AM35,AO35,8)</f>
        <v>0.033435835680436975</v>
      </c>
      <c r="BH18" s="1"/>
    </row>
    <row r="19" spans="1:60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E19" s="1"/>
      <c r="AJ19" s="16">
        <f>AJ32+(AJ12-AJ32)/20*13</f>
        <v>65</v>
      </c>
      <c r="AK19" s="48">
        <f>maprop(AK33,AO34,AJ19,AM35,AO35,8)</f>
        <v>0.0024485005808431073</v>
      </c>
      <c r="AL19" s="49">
        <f>maprop(AL33,AO34,AJ19,AM35,AO35,8)</f>
        <v>0.002829881343019025</v>
      </c>
      <c r="AM19" s="49">
        <f>maprop(AM33,AO34,AJ19,AM35,AO35,8)</f>
        <v>0.0032632776325113183</v>
      </c>
      <c r="AN19" s="50">
        <f>maprop(AN33,AO34,AJ19,AM35,AO35,8)</f>
        <v>0.0037547843528061126</v>
      </c>
      <c r="AO19" s="48">
        <f>maprop(AO33,AO34,AJ19,AM35,AO35,8)</f>
        <v>0.004311101548156928</v>
      </c>
      <c r="AP19" s="49">
        <f>maprop(AP33,AO34,AJ19,AM35,AO35,8)</f>
        <v>0.00493958708272957</v>
      </c>
      <c r="AQ19" s="49">
        <f>maprop(AQ33,AO34,AJ19,AM35,AO35,8)</f>
        <v>0.0056483143222849225</v>
      </c>
      <c r="AR19" s="51">
        <f>maprop(AR33,AO34,AJ19,AM35,AO35,8)</f>
        <v>0.006446135541816492</v>
      </c>
      <c r="AS19" s="52">
        <f>maprop(AS33,AO34,AJ19,AM35,AO35,8)</f>
        <v>0.007342751919405614</v>
      </c>
      <c r="AT19" s="49">
        <f>maprop(AT33,AO34,AJ19,AM35,AO35,8)</f>
        <v>0.008348791139711787</v>
      </c>
      <c r="AU19" s="49">
        <f>maprop(AU33,AO34,AJ19,AM35,AO35,8)</f>
        <v>0.009475893825372516</v>
      </c>
      <c r="AV19" s="50">
        <f>maprop(AV33,AO34,AJ19,AM35,AO35,8)</f>
        <v>0.0107368102477737</v>
      </c>
      <c r="AW19" s="48">
        <f>maprop(AW33,AO34,AJ19,AM35,AO35,8)</f>
        <v>0.012145509048503122</v>
      </c>
      <c r="AX19" s="49">
        <f>maprop(AX33,AO34,AJ19,AM35,AO35,8)</f>
        <v>0.013717300039727627</v>
      </c>
      <c r="AY19" s="49">
        <f>maprop(AY33,AO34,AJ19,AM35,AO35,8)</f>
        <v>0.015468973558907393</v>
      </c>
      <c r="AZ19" s="51">
        <f>maprop(AZ33,AO34,AJ19,AM35,AO35,8)</f>
        <v>0.01741895934736351</v>
      </c>
      <c r="BA19" s="52">
        <f>maprop(BA33,AO34,AJ19,AM35,AO35,8)</f>
        <v>0.019587508524542274</v>
      </c>
      <c r="BB19" s="49">
        <f>maprop(BB33,AO34,AJ19,AM35,AO35,8)</f>
        <v>0.021996902967667945</v>
      </c>
      <c r="BC19" s="49">
        <f>maprop(BC33,AO34,AJ19,AM35,AO35,8)</f>
        <v>0.024671697315055086</v>
      </c>
      <c r="BD19" s="50">
        <f>maprop(BD33,AO34,AJ19,AM35,AO35,8)</f>
        <v>0.027638999936320213</v>
      </c>
      <c r="BE19" s="53">
        <f>maprop(BE33,AO34,AJ19,AM35,AO35,8)</f>
        <v>0.030928800613687888</v>
      </c>
      <c r="BH19" s="1"/>
    </row>
    <row r="20" spans="1:60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E20" s="1"/>
      <c r="AJ20" s="16">
        <f>AJ32+(AJ12-AJ32)/20*12</f>
        <v>60</v>
      </c>
      <c r="AK20" s="54">
        <f>maprop(AK33,AO34,AJ20,AM35,AO35,8)</f>
        <v>0.00225947017073823</v>
      </c>
      <c r="AL20" s="55">
        <f>maprop(AL33,AO34,AJ20,AM35,AO35,8)</f>
        <v>0.00261128424743953</v>
      </c>
      <c r="AM20" s="55">
        <f>maprop(AM33,AO34,AJ20,AM35,AO35,8)</f>
        <v>0.0030110410578744868</v>
      </c>
      <c r="AN20" s="56">
        <f>maprop(AN33,AO34,AJ20,AM35,AO35,8)</f>
        <v>0.003464346032391203</v>
      </c>
      <c r="AO20" s="54">
        <f>maprop(AO33,AO34,AJ20,AM35,AO35,8)</f>
        <v>0.003977357714333765</v>
      </c>
      <c r="AP20" s="55">
        <f>maprop(AP33,AO34,AJ20,AM35,AO35,8)</f>
        <v>0.004556835048677142</v>
      </c>
      <c r="AQ20" s="55">
        <f>maprop(AQ33,AO34,AJ20,AM35,AO35,8)</f>
        <v>0.00521018898614112</v>
      </c>
      <c r="AR20" s="57">
        <f>maprop(AR33,AO34,AJ20,AM35,AO35,8)</f>
        <v>0.005945539006208929</v>
      </c>
      <c r="AS20" s="58">
        <f>maprop(AS33,AO34,AJ20,AM35,AO35,8)</f>
        <v>0.006771775275295897</v>
      </c>
      <c r="AT20" s="55">
        <f>maprop(AT33,AO34,AJ20,AM35,AO35,8)</f>
        <v>0.007698627290411375</v>
      </c>
      <c r="AU20" s="55">
        <f>maprop(AU33,AO34,AJ20,AM35,AO35,8)</f>
        <v>0.008736740018258698</v>
      </c>
      <c r="AV20" s="56">
        <f>maprop(AV33,AO34,AJ20,AM35,AO35,8)</f>
        <v>0.009897758729989036</v>
      </c>
      <c r="AW20" s="54">
        <f>maprop(AW33,AO34,AJ20,AM35,AO35,8)</f>
        <v>0.011194423959212734</v>
      </c>
      <c r="AX20" s="55">
        <f>maprop(AX33,AO34,AJ20,AM35,AO35,8)</f>
        <v>0.012640678283384405</v>
      </c>
      <c r="AY20" s="55">
        <f>maprop(AY33,AO34,AJ20,AM35,AO35,8)</f>
        <v>0.014251786956387041</v>
      </c>
      <c r="AZ20" s="57">
        <f>maprop(AZ33,AO34,AJ20,AM35,AO35,8)</f>
        <v>0.0160444748157283</v>
      </c>
      <c r="BA20" s="58">
        <f>maprop(BA33,AO34,AJ20,AM35,AO35,8)</f>
        <v>0.018037082367305213</v>
      </c>
      <c r="BB20" s="55">
        <f>maprop(BB33,AO34,AJ20,AM35,AO35,8)</f>
        <v>0.020249744534691534</v>
      </c>
      <c r="BC20" s="55">
        <f>maprop(BC33,AO34,AJ20,AM35,AO35,8)</f>
        <v>0.022704596274571585</v>
      </c>
      <c r="BD20" s="56">
        <f>maprop(BD33,AO34,AJ20,AM35,AO35,8)</f>
        <v>0.02542601013910773</v>
      </c>
      <c r="BE20" s="59">
        <f>maprop(BE33,AO34,AJ20,AM35,AO35,8)</f>
        <v>0.028440871953434553</v>
      </c>
      <c r="BH20" s="1"/>
    </row>
    <row r="21" spans="1:60" ht="9.75" customHeight="1">
      <c r="A21" s="6"/>
      <c r="B21" s="6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E21" s="1"/>
      <c r="AJ21" s="16">
        <f>AJ32+(AJ12-AJ32)/20*11</f>
        <v>55</v>
      </c>
      <c r="AK21" s="60">
        <f>maprop(AK33,AO34,AJ21,AM35,AO35,8)</f>
        <v>0.0020705541755194844</v>
      </c>
      <c r="AL21" s="61">
        <f>maprop(AL33,AO34,AJ21,AM35,AO35,8)</f>
        <v>0.002392840057081383</v>
      </c>
      <c r="AM21" s="61">
        <f>maprop(AM33,AO34,AJ21,AM35,AO35,8)</f>
        <v>0.002759007918046476</v>
      </c>
      <c r="AN21" s="62">
        <f>maprop(AN33,AO34,AJ21,AM35,AO35,8)</f>
        <v>0.0031741772061273403</v>
      </c>
      <c r="AO21" s="60">
        <f>maprop(AO33,AO34,AJ21,AM35,AO35,8)</f>
        <v>0.0036439693908443985</v>
      </c>
      <c r="AP21" s="61">
        <f>maprop(AP33,AO34,AJ21,AM35,AO35,8)</f>
        <v>0.004174550094808771</v>
      </c>
      <c r="AQ21" s="61">
        <f>maprop(AQ33,AO34,AJ21,AM35,AO35,8)</f>
        <v>0.004772674907890725</v>
      </c>
      <c r="AR21" s="63">
        <f>maprop(AR33,AO34,AJ21,AM35,AO35,8)</f>
        <v>0.0054457393800048486</v>
      </c>
      <c r="AS21" s="64">
        <f>maprop(AS33,AO34,AJ21,AM35,AO35,8)</f>
        <v>0.006201833779846501</v>
      </c>
      <c r="AT21" s="61">
        <f>maprop(AT33,AO34,AJ21,AM35,AO35,8)</f>
        <v>0.0070498033154729545</v>
      </c>
      <c r="AU21" s="61">
        <f>maprop(AU33,AO34,AJ21,AM35,AO35,8)</f>
        <v>0.007999314641385495</v>
      </c>
      <c r="AV21" s="62">
        <f>maprop(AV33,AO34,AJ21,AM35,AO35,8)</f>
        <v>0.009060929629679866</v>
      </c>
      <c r="AW21" s="60">
        <f>maprop(AW33,AO34,AJ21,AM35,AO35,8)</f>
        <v>0.010246187564790931</v>
      </c>
      <c r="AX21" s="61">
        <f>maprop(AX33,AO34,AJ21,AM35,AO35,8)</f>
        <v>0.011567697138400364</v>
      </c>
      <c r="AY21" s="61">
        <f>maprop(AY33,AO34,AJ21,AM35,AO35,8)</f>
        <v>0.013039239880765633</v>
      </c>
      <c r="AZ21" s="63">
        <f>maprop(AZ33,AO34,AJ21,AM35,AO35,8)</f>
        <v>0.014675886976495427</v>
      </c>
      <c r="BA21" s="64">
        <f>maprop(BA33,AO34,AJ21,AM35,AO35,8)</f>
        <v>0.016494131788554307</v>
      </c>
      <c r="BB21" s="61">
        <f>maprop(BB33,AO34,AJ21,AM35,AO35,8)</f>
        <v>0.018512040869083684</v>
      </c>
      <c r="BC21" s="61">
        <f>maprop(BC33,AO34,AJ21,AM35,AO35,8)</f>
        <v>0.02074942678861341</v>
      </c>
      <c r="BD21" s="62">
        <f>maprop(BD33,AO34,AJ21,AM35,AO35,8)</f>
        <v>0.023228046790917844</v>
      </c>
      <c r="BE21" s="65">
        <f>maprop(BE33,AO34,AJ21,AM35,AO35,8)</f>
        <v>0.02597183211058617</v>
      </c>
      <c r="BH21" s="1"/>
    </row>
    <row r="22" spans="1:60" ht="9.75" customHeight="1">
      <c r="A22" s="6"/>
      <c r="B22" s="6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E22" s="1"/>
      <c r="AJ22" s="16">
        <f>AJ32+(AJ12-AJ32)/20*10</f>
        <v>50</v>
      </c>
      <c r="AK22" s="48">
        <f>maprop(AK33,AO34,AJ22,AM35,AO35,8)</f>
        <v>0.0018817524913401769</v>
      </c>
      <c r="AL22" s="49">
        <f>maprop(AL33,AO34,AJ22,AM35,AO35,8)</f>
        <v>0.002174548611568622</v>
      </c>
      <c r="AM22" s="49">
        <f>maprop(AM33,AO34,AJ22,AM35,AO35,8)</f>
        <v>0.0025071779670140957</v>
      </c>
      <c r="AN22" s="50">
        <f>maprop(AN33,AO34,AJ22,AM35,AO35,8)</f>
        <v>0.002884277499097859</v>
      </c>
      <c r="AO22" s="48">
        <f>maprop(AO33,AO34,AJ22,AM35,AO35,8)</f>
        <v>0.0033109360099467062</v>
      </c>
      <c r="AP22" s="49">
        <f>maprop(AP33,AO34,AJ22,AM35,AO35,8)</f>
        <v>0.0037927313666647447</v>
      </c>
      <c r="AQ22" s="49">
        <f>maprop(AQ33,AO34,AJ22,AM35,AO35,8)</f>
        <v>0.004335770809215181</v>
      </c>
      <c r="AR22" s="51">
        <f>maprop(AR33,AO34,AJ22,AM35,AO35,8)</f>
        <v>0.0049467347617940935</v>
      </c>
      <c r="AS22" s="52">
        <f>maprop(AS33,AO34,AJ22,AM35,AO35,8)</f>
        <v>0.0056329246206070615</v>
      </c>
      <c r="AT22" s="49">
        <f>maprop(AT33,AO34,AJ22,AM35,AO35,8)</f>
        <v>0.006402315077288716</v>
      </c>
      <c r="AU22" s="49">
        <f>maprop(AU33,AO34,AJ22,AM35,AO35,8)</f>
        <v>0.007263611639215457</v>
      </c>
      <c r="AV22" s="50">
        <f>maprop(AV33,AO34,AJ22,AM35,AO35,8)</f>
        <v>0.008226314128662485</v>
      </c>
      <c r="AW22" s="48">
        <f>maprop(AW33,AO34,AJ22,AM35,AO35,8)</f>
        <v>0.009300787085738145</v>
      </c>
      <c r="AX22" s="49">
        <f>maprop(AX33,AO34,AJ22,AM35,AO35,8)</f>
        <v>0.010498338169778104</v>
      </c>
      <c r="AY22" s="49">
        <f>maprop(AY33,AO34,AJ22,AM35,AO35,8)</f>
        <v>0.011831305855908367</v>
      </c>
      <c r="AZ22" s="51">
        <f>maprop(AZ33,AO34,AJ22,AM35,AO35,8)</f>
        <v>0.013313157964682026</v>
      </c>
      <c r="BA22" s="52">
        <f>maprop(BA33,AO34,AJ22,AM35,AO35,8)</f>
        <v>0.014958602851630575</v>
      </c>
      <c r="BB22" s="49">
        <f>maprop(BB33,AO34,AJ22,AM35,AO35,8)</f>
        <v>0.01678371543107338</v>
      </c>
      <c r="BC22" s="49">
        <f>maprop(BC33,AO34,AJ22,AM35,AO35,8)</f>
        <v>0.018806080628210094</v>
      </c>
      <c r="BD22" s="50">
        <f>maprop(BD33,AO34,AJ22,AM35,AO35,8)</f>
        <v>0.021044957362683095</v>
      </c>
      <c r="BE22" s="53">
        <f>maprop(BE33,AO34,AJ22,AM35,AO35,8)</f>
        <v>0.02352146678751099</v>
      </c>
      <c r="BH22" s="1"/>
    </row>
    <row r="23" spans="1:60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E23" s="1"/>
      <c r="AJ23" s="16">
        <f>AJ32+(AJ12-AJ32)/20*9</f>
        <v>45</v>
      </c>
      <c r="AK23" s="48">
        <f>maprop(AK33,AO34,AJ23,AM35,AO35,8)</f>
        <v>0.0016930650144792489</v>
      </c>
      <c r="AL23" s="49">
        <f>maprop(AL33,AO34,AJ23,AM35,AO35,8)</f>
        <v>0.0019564097507494883</v>
      </c>
      <c r="AM23" s="49">
        <f>maprop(AM33,AO34,AJ23,AM35,AO35,8)</f>
        <v>0.002255550959160532</v>
      </c>
      <c r="AN23" s="50">
        <f>maprop(AN33,AO34,AJ23,AM35,AO35,8)</f>
        <v>0.002594646537081212</v>
      </c>
      <c r="AO23" s="48">
        <f>maprop(AO33,AO34,AJ23,AM35,AO35,8)</f>
        <v>0.0029782570051068197</v>
      </c>
      <c r="AP23" s="49">
        <f>maprop(AP33,AO34,AJ23,AM35,AO35,8)</f>
        <v>0.0034113780118676957</v>
      </c>
      <c r="AQ23" s="49">
        <f>maprop(AQ33,AO34,AJ23,AM35,AO35,8)</f>
        <v>0.0038994754153584416</v>
      </c>
      <c r="AR23" s="51">
        <f>maprop(AR33,AO34,AJ23,AM35,AO35,8)</f>
        <v>0.00444852325621067</v>
      </c>
      <c r="AS23" s="52">
        <f>maprop(AS33,AO34,AJ23,AM35,AO35,8)</f>
        <v>0.00506504499530639</v>
      </c>
      <c r="AT23" s="49">
        <f>maprop(AT33,AO34,AJ23,AM35,AO35,8)</f>
        <v>0.005756158455269548</v>
      </c>
      <c r="AU23" s="49">
        <f>maprop(AU33,AO34,AJ23,AM35,AO35,8)</f>
        <v>0.006529624984465901</v>
      </c>
      <c r="AV23" s="50">
        <f>maprop(AV33,AO34,AJ23,AM35,AO35,8)</f>
        <v>0.007393903455343679</v>
      </c>
      <c r="AW23" s="48">
        <f>maprop(AW33,AO34,AJ23,AM35,AO35,8)</f>
        <v>0.008358209818881043</v>
      </c>
      <c r="AX23" s="49">
        <f>maprop(AX33,AO34,AJ23,AM35,AO35,8)</f>
        <v>0.00943258306677632</v>
      </c>
      <c r="AY23" s="49">
        <f>maprop(AY33,AO34,AJ23,AM35,AO35,8)</f>
        <v>0.010627958606751314</v>
      </c>
      <c r="AZ23" s="51">
        <f>maprop(AZ33,AO34,AJ23,AM35,AO35,8)</f>
        <v>0.011956250238807952</v>
      </c>
      <c r="BA23" s="52">
        <f>maprop(BA33,AO34,AJ23,AM35,AO35,8)</f>
        <v>0.013430442137504401</v>
      </c>
      <c r="BB23" s="49">
        <f>maprop(BB33,AO34,AJ23,AM35,AO35,8)</f>
        <v>0.015064692504822983</v>
      </c>
      <c r="BC23" s="49">
        <f>maprop(BC33,AO34,AJ23,AM35,AO35,8)</f>
        <v>0.01687445086941275</v>
      </c>
      <c r="BD23" s="50">
        <f>maprop(BD33,AO34,AJ23,AM35,AO35,8)</f>
        <v>0.018876591382744945</v>
      </c>
      <c r="BE23" s="53">
        <f>maprop(BE33,AO34,AJ23,AM35,AO35,8)</f>
        <v>0.02108956491603343</v>
      </c>
      <c r="BH23" s="1"/>
    </row>
    <row r="24" spans="1:60" ht="9.75" customHeight="1">
      <c r="A24" s="6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E24" s="1"/>
      <c r="AJ24" s="16">
        <f>AJ32+(AJ12-AJ32)/20*8</f>
        <v>40</v>
      </c>
      <c r="AK24" s="36">
        <f>maprop(AK33,AO34,AJ24,AM35,AO35,8)</f>
        <v>0.001504491641340684</v>
      </c>
      <c r="AL24" s="37">
        <f>maprop(AL33,AO34,AJ24,AM35,AO35,8)</f>
        <v>0.0017384233146956337</v>
      </c>
      <c r="AM24" s="37">
        <f>maprop(AM33,AO34,AJ24,AM35,AO35,8)</f>
        <v>0.0020041266492646843</v>
      </c>
      <c r="AN24" s="38">
        <f>maprop(AN33,AO34,AJ24,AM35,AO35,8)</f>
        <v>0.0023052839465497583</v>
      </c>
      <c r="AO24" s="36">
        <f>maprop(AO33,AO34,AJ24,AM35,AO35,8)</f>
        <v>0.0026459318109955062</v>
      </c>
      <c r="AP24" s="37">
        <f>maprop(AP33,AO34,AJ24,AM35,AO35,8)</f>
        <v>0.0030304891801172106</v>
      </c>
      <c r="AQ24" s="37">
        <f>maprop(AQ33,AO34,AJ24,AM35,AO35,8)</f>
        <v>0.0034637874551136224</v>
      </c>
      <c r="AR24" s="39">
        <f>maprop(AR33,AO34,AJ24,AM35,AO35,8)</f>
        <v>0.00395110297390915</v>
      </c>
      <c r="AS24" s="40">
        <f>maprop(AS33,AO34,AJ24,AM35,AO35,8)</f>
        <v>0.004498192111806458</v>
      </c>
      <c r="AT24" s="37">
        <f>maprop(AT33,AO34,AJ24,AM35,AO35,8)</f>
        <v>0.00511132934575764</v>
      </c>
      <c r="AU24" s="37">
        <f>maprop(AU33,AO34,AJ24,AM35,AO35,8)</f>
        <v>0.005797348677943888</v>
      </c>
      <c r="AV24" s="38">
        <f>maprop(AV33,AO34,AJ24,AM35,AO35,8)</f>
        <v>0.006563688884413854</v>
      </c>
      <c r="AW24" s="36">
        <f>maprop(AW33,AO34,AJ24,AM35,AO35,8)</f>
        <v>0.007418443136803143</v>
      </c>
      <c r="AX24" s="37">
        <f>maprop(AX33,AO34,AJ24,AM35,AO35,8)</f>
        <v>0.008370413641865205</v>
      </c>
      <c r="AY24" s="37">
        <f>maprop(AY33,AO34,AJ24,AM35,AO35,8)</f>
        <v>0.009429172057396134</v>
      </c>
      <c r="AZ24" s="39">
        <f>maprop(AZ33,AO34,AJ24,AM35,AO35,8)</f>
        <v>0.010605126577447348</v>
      </c>
      <c r="BA24" s="40">
        <f>maprop(BA33,AO34,AJ24,AM35,AO35,8)</f>
        <v>0.01190959673858065</v>
      </c>
      <c r="BB24" s="37">
        <f>maprop(BB33,AO34,AJ24,AM35,AO35,8)</f>
        <v>0.013354897187370271</v>
      </c>
      <c r="BC24" s="37">
        <f>maprop(BC33,AO34,AJ24,AM35,AO35,8)</f>
        <v>0.014954431873682847</v>
      </c>
      <c r="BD24" s="38">
        <f>maprop(BD33,AO34,AJ24,AM35,AO35,8)</f>
        <v>0.01672280040228056</v>
      </c>
      <c r="BE24" s="41">
        <f>maprop(BE33,AO34,AJ24,AM35,AO35,8)</f>
        <v>0.01867591859682811</v>
      </c>
      <c r="BH24" s="1"/>
    </row>
    <row r="25" spans="1:60" ht="9.75" customHeight="1">
      <c r="A25" s="6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E25" s="1"/>
      <c r="AJ25" s="16">
        <f>AJ32+(AJ12-AJ32)/20*7</f>
        <v>35</v>
      </c>
      <c r="AK25" s="42">
        <f>maprop(AK33,AO34,AJ25,AM35,AO35,8)</f>
        <v>0.0013160322684542592</v>
      </c>
      <c r="AL25" s="43">
        <f>maprop(AL33,AO34,AJ25,AM35,AO35,8)</f>
        <v>0.001520589143702669</v>
      </c>
      <c r="AM25" s="43">
        <f>maprop(AM33,AO34,AJ25,AM35,AO35,8)</f>
        <v>0.0017529047925005027</v>
      </c>
      <c r="AN25" s="44">
        <f>maprop(AN33,AO34,AJ25,AM35,AO35,8)</f>
        <v>0.002016189354667222</v>
      </c>
      <c r="AO25" s="42">
        <f>maprop(AO33,AO34,AJ25,AM35,AO35,8)</f>
        <v>0.002313959863485911</v>
      </c>
      <c r="AP25" s="43">
        <f>maprop(AP33,AO34,AJ25,AM35,AO35,8)</f>
        <v>0.002650064023183098</v>
      </c>
      <c r="AQ25" s="43">
        <f>maprop(AQ33,AO34,AJ25,AM35,AO35,8)</f>
        <v>0.0030287056608110582</v>
      </c>
      <c r="AR25" s="45">
        <f>maprop(AR33,AO34,AJ25,AM35,AO35,8)</f>
        <v>0.00345447203153985</v>
      </c>
      <c r="AS25" s="46">
        <f>maprop(AS33,AO34,AJ25,AM35,AO35,8)</f>
        <v>0.00393236318805665</v>
      </c>
      <c r="AT25" s="43">
        <f>maprop(AT33,AO34,AJ25,AM35,AO35,8)</f>
        <v>0.004467823661939598</v>
      </c>
      <c r="AU25" s="43">
        <f>maprop(AU33,AO34,AJ25,AM35,AO35,8)</f>
        <v>0.005066776748382388</v>
      </c>
      <c r="AV25" s="44">
        <f>maprop(AV33,AO34,AJ25,AM35,AO35,8)</f>
        <v>0.005735661736541202</v>
      </c>
      <c r="AW25" s="42">
        <f>maprop(AW33,AO34,AJ25,AM35,AO35,8)</f>
        <v>0.006481474487280533</v>
      </c>
      <c r="AX25" s="43">
        <f>maprop(AX33,AO34,AJ25,AM35,AO35,8)</f>
        <v>0.007311811829691026</v>
      </c>
      <c r="AY25" s="43">
        <f>maprop(AY33,AO34,AJ25,AM35,AO35,8)</f>
        <v>0.008234920329226394</v>
      </c>
      <c r="AZ25" s="45">
        <f>maprop(AZ33,AO34,AJ25,AM35,AO35,8)</f>
        <v>0.009259750075825563</v>
      </c>
      <c r="BA25" s="46">
        <f>maprop(BA33,AO34,AJ25,AM35,AO35,8)</f>
        <v>0.010396014252592536</v>
      </c>
      <c r="BB25" s="43">
        <f>maprop(BB33,AO34,AJ25,AM35,AO35,8)</f>
        <v>0.011654255377749594</v>
      </c>
      <c r="BC25" s="43">
        <f>maprop(BC33,AO34,AJ25,AM35,AO35,8)</f>
        <v>0.01304591926863429</v>
      </c>
      <c r="BD25" s="44">
        <f>maprop(BD33,AO34,AJ25,AM35,AO35,8)</f>
        <v>0.01458343796142541</v>
      </c>
      <c r="BE25" s="47">
        <f>maprop(BE33,AO34,AJ25,AM35,AO35,8)</f>
        <v>0.01628032304017301</v>
      </c>
      <c r="BH25" s="1"/>
    </row>
    <row r="26" spans="1:60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E26" s="1"/>
      <c r="AJ26" s="16">
        <f>AJ32+(AJ12-AJ32)/20*6</f>
        <v>30</v>
      </c>
      <c r="AK26" s="48">
        <f>maprop(AK33,AO34,AJ26,AM35,AO35,8)</f>
        <v>0.0011276867924742801</v>
      </c>
      <c r="AL26" s="49">
        <f>maprop(AL33,AO34,AJ26,AM35,AO35,8)</f>
        <v>0.0013029070782886983</v>
      </c>
      <c r="AM26" s="49">
        <f>maprop(AM33,AO34,AJ26,AM35,AO35,8)</f>
        <v>0.0015018851444356558</v>
      </c>
      <c r="AN26" s="50">
        <f>maprop(AN33,AO34,AJ26,AM35,AO35,8)</f>
        <v>0.0017273623892881628</v>
      </c>
      <c r="AO26" s="48">
        <f>maprop(AO33,AO34,AJ26,AM35,AO35,8)</f>
        <v>0.001982340599649286</v>
      </c>
      <c r="AP26" s="49">
        <f>maprop(AP33,AO34,AJ26,AM35,AO35,8)</f>
        <v>0.0022701016948986938</v>
      </c>
      <c r="AQ26" s="49">
        <f>maprop(AQ33,AO34,AJ26,AM35,AO35,8)</f>
        <v>0.002594228768306414</v>
      </c>
      <c r="AR26" s="51">
        <f>maprop(AR33,AO34,AJ26,AM35,AO35,8)</f>
        <v>0.0029586285517261357</v>
      </c>
      <c r="AS26" s="52">
        <f>maprop(AS33,AO34,AJ26,AM35,AO35,8)</f>
        <v>0.00336755545204823</v>
      </c>
      <c r="AT26" s="49">
        <f>maprop(AT33,AO34,AJ26,AM35,AO35,8)</f>
        <v>0.003825637333760107</v>
      </c>
      <c r="AU26" s="49">
        <f>maprop(AU33,AO34,AJ26,AM35,AO35,8)</f>
        <v>0.004337903252278904</v>
      </c>
      <c r="AV26" s="50">
        <f>maprop(AV33,AO34,AJ26,AM35,AO35,8)</f>
        <v>0.004909813378070351</v>
      </c>
      <c r="AW26" s="48">
        <f>maprop(AW33,AO34,AJ26,AM35,AO35,8)</f>
        <v>0.0055472913927238085</v>
      </c>
      <c r="AX26" s="49">
        <f>maprop(AX33,AO34,AJ26,AM35,AO35,8)</f>
        <v>0.00625675968605234</v>
      </c>
      <c r="AY26" s="49">
        <f>maprop(AY33,AO34,AJ26,AM35,AO35,8)</f>
        <v>0.007045177739045946</v>
      </c>
      <c r="AZ26" s="51">
        <f>maprop(AZ33,AO34,AJ26,AM35,AO35,8)</f>
        <v>0.007920084142459462</v>
      </c>
      <c r="BA26" s="52">
        <f>maprop(BA33,AO34,AJ26,AM35,AO35,8)</f>
        <v>0.008889642776583469</v>
      </c>
      <c r="BB26" s="49">
        <f>maprop(BB33,AO34,AJ26,AM35,AO35,8)</f>
        <v>0.009962693766286498</v>
      </c>
      <c r="BC26" s="49">
        <f>maprop(BC33,AO34,AJ26,AM35,AO35,8)</f>
        <v>0.011148809929120203</v>
      </c>
      <c r="BD26" s="50">
        <f>maprop(BD33,AO34,AJ26,AM35,AO35,8)</f>
        <v>0.012458359556072695</v>
      </c>
      <c r="BE26" s="53">
        <f>maprop(BE33,AO34,AJ26,AM35,AO35,8)</f>
        <v>0.013902576508026863</v>
      </c>
      <c r="BH26" s="1"/>
    </row>
    <row r="27" spans="1:60" ht="9.75" customHeight="1">
      <c r="A27" s="6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E27" s="1"/>
      <c r="AJ27" s="16">
        <f>AJ32+(AJ12-AJ32)/20*5</f>
        <v>25</v>
      </c>
      <c r="AK27" s="48">
        <f>maprop(AK33,AO34,AJ27,AM35,AO35,8)</f>
        <v>0.0009394551101804675</v>
      </c>
      <c r="AL27" s="49">
        <f>maprop(AL33,AO34,AJ27,AM35,AO35,8)</f>
        <v>0.0010853769591950072</v>
      </c>
      <c r="AM27" s="49">
        <f>maprop(AM33,AO34,AJ27,AM35,AO35,8)</f>
        <v>0.0012510674610315441</v>
      </c>
      <c r="AN27" s="50">
        <f>maprop(AN33,AO34,AJ27,AM35,AO35,8)</f>
        <v>0.001438802678955303</v>
      </c>
      <c r="AO27" s="48">
        <f>maprop(AO33,AO34,AJ27,AM35,AO35,8)</f>
        <v>0.0016510734577528847</v>
      </c>
      <c r="AP27" s="49">
        <f>maprop(AP33,AO34,AJ27,AM35,AO35,8)</f>
        <v>0.0018906013511553919</v>
      </c>
      <c r="AQ27" s="49">
        <f>maprop(AQ33,AO34,AJ27,AM35,AO35,8)</f>
        <v>0.0021603555169676346</v>
      </c>
      <c r="AR27" s="51">
        <f>maprop(AR33,AO34,AJ27,AM35,AO35,8)</f>
        <v>0.0024635706630396917</v>
      </c>
      <c r="AS27" s="52">
        <f>maprop(AS33,AO34,AJ27,AM35,AO35,8)</f>
        <v>0.002803766141769092</v>
      </c>
      <c r="AT27" s="49">
        <f>maprop(AT33,AO34,AJ27,AM35,AO35,8)</f>
        <v>0.0031847663078361297</v>
      </c>
      <c r="AU27" s="49">
        <f>maprop(AU33,AO34,AJ27,AM35,AO35,8)</f>
        <v>0.0036107222737332286</v>
      </c>
      <c r="AV27" s="50">
        <f>maprop(AV33,AO34,AJ27,AM35,AO35,8)</f>
        <v>0.0040861352207211925</v>
      </c>
      <c r="AW27" s="48">
        <f>maprop(AW33,AO34,AJ27,AM35,AO35,8)</f>
        <v>0.004615881449623653</v>
      </c>
      <c r="AX27" s="49">
        <f>maprop(AX33,AO34,AJ27,AM35,AO35,8)</f>
        <v>0.005205239386886498</v>
      </c>
      <c r="AY27" s="49">
        <f>maprop(AY33,AO34,AJ27,AM35,AO35,8)</f>
        <v>0.005859918797236931</v>
      </c>
      <c r="AZ27" s="51">
        <f>maprop(AZ33,AO34,AJ27,AM35,AO35,8)</f>
        <v>0.00658609249583914</v>
      </c>
      <c r="BA27" s="52">
        <f>maprop(BA33,AO34,AJ27,AM35,AO35,8)</f>
        <v>0.007390430900973331</v>
      </c>
      <c r="BB27" s="49">
        <f>maprop(BB33,AO34,AJ27,AM35,AO35,8)</f>
        <v>0.008280139824063538</v>
      </c>
      <c r="BC27" s="49">
        <f>maprop(BC33,AO34,AJ27,AM35,AO35,8)</f>
        <v>0.009263001958658533</v>
      </c>
      <c r="BD27" s="50">
        <f>maprop(BD33,AO34,AJ27,AM35,AO35,8)</f>
        <v>0.010347422605337699</v>
      </c>
      <c r="BE27" s="53">
        <f>maprop(BE33,AO34,AJ27,AM35,AO35,8)</f>
        <v>0.01154248025739751</v>
      </c>
      <c r="BH27" s="1"/>
    </row>
    <row r="28" spans="1:60" ht="9.75" customHeight="1">
      <c r="A28" s="6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E28" s="1"/>
      <c r="AJ28" s="16">
        <f>AJ32+(AJ12-AJ32)/20*4</f>
        <v>20</v>
      </c>
      <c r="AK28" s="54">
        <f>maprop(AK33,AO34,AJ28,AM35,AO35,8)</f>
        <v>0.0007513371184766938</v>
      </c>
      <c r="AL28" s="55">
        <f>maprop(AL33,AO34,AJ28,AM35,AO35,8)</f>
        <v>0.000867998627384597</v>
      </c>
      <c r="AM28" s="55">
        <f>maprop(AM33,AO34,AJ28,AM35,AO35,8)</f>
        <v>0.001000451498641972</v>
      </c>
      <c r="AN28" s="56">
        <f>maprop(AN33,AO34,AJ28,AM35,AO35,8)</f>
        <v>0.0011505098528990136</v>
      </c>
      <c r="AO28" s="54">
        <f>maprop(AO33,AO34,AJ28,AM35,AO35,8)</f>
        <v>0.0013201578772557162</v>
      </c>
      <c r="AP28" s="55">
        <f>maprop(AP33,AO34,AJ28,AM35,AO35,8)</f>
        <v>0.0015115621498959927</v>
      </c>
      <c r="AQ28" s="55">
        <f>maprop(AQ33,AO34,AJ28,AM35,AO35,8)</f>
        <v>0.0017270846496631551</v>
      </c>
      <c r="AR28" s="57">
        <f>maprop(AR33,AO34,AJ28,AM35,AO35,8)</f>
        <v>0.0019692964999780513</v>
      </c>
      <c r="AS28" s="58">
        <f>maprop(AS33,AO34,AJ28,AM35,AO35,8)</f>
        <v>0.0022409925051587298</v>
      </c>
      <c r="AT28" s="55">
        <f>maprop(AT33,AO34,AJ28,AM35,AO35,8)</f>
        <v>0.002545206547371617</v>
      </c>
      <c r="AU28" s="55">
        <f>maprop(AU33,AO34,AJ28,AM35,AO35,8)</f>
        <v>0.002885227924288321</v>
      </c>
      <c r="AV28" s="56">
        <f>maprop(AV33,AO34,AJ28,AM35,AO35,8)</f>
        <v>0.00326461872129226</v>
      </c>
      <c r="AW28" s="54">
        <f>maprop(AW33,AO34,AJ28,AM35,AO35,8)</f>
        <v>0.0036872323280021497</v>
      </c>
      <c r="AX28" s="55">
        <f>maprop(AX33,AO34,AJ28,AM35,AO35,8)</f>
        <v>0.004157233227265073</v>
      </c>
      <c r="AY28" s="55">
        <f>maprop(AY33,AO34,AJ28,AM35,AO35,8)</f>
        <v>0.004679118205939989</v>
      </c>
      <c r="AZ28" s="57">
        <f>maprop(AZ33,AO34,AJ28,AM35,AO35,8)</f>
        <v>0.005257739161152971</v>
      </c>
      <c r="BA28" s="58">
        <f>maprop(BA33,AO34,AJ28,AM35,AO35,8)</f>
        <v>0.005898327703710511</v>
      </c>
      <c r="BB28" s="55">
        <f>maprop(BB33,AO34,AJ28,AM35,AO35,8)</f>
        <v>0.006606521792553956</v>
      </c>
      <c r="BC28" s="55">
        <f>maprop(BC33,AO34,AJ28,AM35,AO35,8)</f>
        <v>0.007388394671187167</v>
      </c>
      <c r="BD28" s="56">
        <f>maprop(BD33,AO34,AJ28,AM35,AO35,8)</f>
        <v>0.008250486419667441</v>
      </c>
      <c r="BE28" s="59">
        <f>maprop(BE33,AO34,AJ28,AM35,AO35,8)</f>
        <v>0.009199838484964902</v>
      </c>
      <c r="BH28" s="1"/>
    </row>
    <row r="29" spans="1:60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E29" s="1"/>
      <c r="AJ29" s="16">
        <f>AJ32+(AJ12-AJ32)/20*3</f>
        <v>15</v>
      </c>
      <c r="AK29" s="60">
        <f>maprop(AK33,AO34,AJ29,AM35,AO35,8)</f>
        <v>0.000563332714391869</v>
      </c>
      <c r="AL29" s="61">
        <f>maprop(AL33,AO34,AJ29,AM35,AO35,8)</f>
        <v>0.0006507719240428733</v>
      </c>
      <c r="AM29" s="61">
        <f>maprop(AM33,AO34,AJ29,AM35,AO35,8)</f>
        <v>0.0007500370140124925</v>
      </c>
      <c r="AN29" s="62">
        <f>maprop(AN33,AO34,AJ29,AM35,AO35,8)</f>
        <v>0.0008624835410346491</v>
      </c>
      <c r="AO29" s="60">
        <f>maprop(AO33,AO34,AJ29,AM35,AO35,8)</f>
        <v>0.000989593298806458</v>
      </c>
      <c r="AP29" s="61">
        <f>maprop(AP33,AO34,AJ29,AM35,AO35,8)</f>
        <v>0.0011329832511080688</v>
      </c>
      <c r="AQ29" s="61">
        <f>maprop(AQ33,AO34,AJ29,AM35,AO35,8)</f>
        <v>0.0012944149127501613</v>
      </c>
      <c r="AR29" s="63">
        <f>maprop(AR33,AO34,AJ29,AM35,AO35,8)</f>
        <v>0.0014758042029400888</v>
      </c>
      <c r="AS29" s="64">
        <f>maprop(AS33,AO34,AJ29,AM35,AO35,8)</f>
        <v>0.0016792318000634565</v>
      </c>
      <c r="AT29" s="61">
        <f>maprop(AT33,AO34,AJ29,AM35,AO35,8)</f>
        <v>0.0019069540320727555</v>
      </c>
      <c r="AU29" s="61">
        <f>maprop(AU33,AO34,AJ29,AM35,AO35,8)</f>
        <v>0.002161414342770965</v>
      </c>
      <c r="AV29" s="62">
        <f>maprop(AV33,AO34,AJ29,AM35,AO35,8)</f>
        <v>0.0024452553813642756</v>
      </c>
      <c r="AW29" s="60">
        <f>maprop(AW33,AO34,AJ29,AM35,AO35,8)</f>
        <v>0.002761331770868154</v>
      </c>
      <c r="AX29" s="61">
        <f>maprop(AX33,AO34,AJ29,AM35,AO35,8)</f>
        <v>0.0031127236204007208</v>
      </c>
      <c r="AY29" s="61">
        <f>maprop(AY33,AO34,AJ29,AM35,AO35,8)</f>
        <v>0.0035027508572542444</v>
      </c>
      <c r="AZ29" s="63">
        <f>maprop(AZ33,AO34,AJ29,AM35,AO35,8)</f>
        <v>0.003934988467054086</v>
      </c>
      <c r="BA29" s="64">
        <f>maprop(BA33,AO34,AJ29,AM35,AO35,8)</f>
        <v>0.004413282744506281</v>
      </c>
      <c r="BB29" s="61">
        <f>maprop(BB33,AO34,AJ29,AM35,AO35,8)</f>
        <v>0.004941768673419898</v>
      </c>
      <c r="BC29" s="61">
        <f>maprop(BC33,AO34,AJ29,AM35,AO35,8)</f>
        <v>0.0055248885731446285</v>
      </c>
      <c r="BD29" s="62">
        <f>maprop(BD33,AO34,AJ29,AM35,AO35,8)</f>
        <v>0.006167412169584176</v>
      </c>
      <c r="BE29" s="65">
        <f>maprop(BE33,AO34,AJ29,AM35,AO35,8)</f>
        <v>0.006874458272930381</v>
      </c>
      <c r="BH29" s="1"/>
    </row>
    <row r="30" spans="1:60" ht="9.75" customHeight="1">
      <c r="A30" s="6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E30" s="1"/>
      <c r="AJ30" s="16">
        <f>AJ32+(AJ12-AJ32)/20*2</f>
        <v>10</v>
      </c>
      <c r="AK30" s="48">
        <f>maprop(AK33,AO34,AJ30,AM35,AO35,8)</f>
        <v>0.00037544179507867956</v>
      </c>
      <c r="AL30" s="49">
        <f>maprop(AL33,AO34,AJ30,AM35,AO35,8)</f>
        <v>0.0004336966905761846</v>
      </c>
      <c r="AM30" s="49">
        <f>maprop(AM33,AO34,AJ30,AM35,AO35,8)</f>
        <v>0.0004998237642797551</v>
      </c>
      <c r="AN30" s="50">
        <f>maprop(AN33,AO34,AJ30,AM35,AO35,8)</f>
        <v>0.0005747233739620381</v>
      </c>
      <c r="AO30" s="48">
        <f>maprop(AO33,AO34,AJ30,AM35,AO35,8)</f>
        <v>0.0006593791642392287</v>
      </c>
      <c r="AP30" s="49">
        <f>maprop(AP33,AO34,AJ30,AM35,AO35,8)</f>
        <v>0.0007548638168185671</v>
      </c>
      <c r="AQ30" s="49">
        <f>maprop(AQ33,AO34,AJ30,AM35,AO35,8)</f>
        <v>0.0008623450560616946</v>
      </c>
      <c r="AR30" s="51">
        <f>maprop(AR33,AO34,AJ30,AM35,AO35,8)</f>
        <v>0.0009830919182037756</v>
      </c>
      <c r="AS30" s="52">
        <f>maprop(AS33,AO34,AJ30,AM35,AO35,8)</f>
        <v>0.0011184812941918679</v>
      </c>
      <c r="AT30" s="49">
        <f>maprop(AT33,AO34,AJ30,AM35,AO35,8)</f>
        <v>0.0012700047580637233</v>
      </c>
      <c r="AU30" s="49">
        <f>maprop(AU33,AO34,AJ30,AM35,AO35,8)</f>
        <v>0.0014392756951335257</v>
      </c>
      <c r="AV30" s="50">
        <f>maprop(AV33,AO34,AJ30,AM35,AO35,8)</f>
        <v>0.0016280367470081832</v>
      </c>
      <c r="AW30" s="48">
        <f>maprop(AW33,AO34,AJ30,AM35,AO35,8)</f>
        <v>0.0018381675936788456</v>
      </c>
      <c r="AX30" s="49">
        <f>maprop(AX33,AO34,AJ30,AM35,AO35,8)</f>
        <v>0.00207169309666326</v>
      </c>
      <c r="AY30" s="49">
        <f>maprop(AY33,AO34,AJ30,AM35,AO35,8)</f>
        <v>0.0023307918314575495</v>
      </c>
      <c r="AZ30" s="51">
        <f>maprop(AZ33,AO34,AJ30,AM35,AO35,8)</f>
        <v>0.002617805042466457</v>
      </c>
      <c r="BA30" s="52">
        <f>maprop(BA33,AO34,AJ30,AM35,AO35,8)</f>
        <v>0.0029352460591507705</v>
      </c>
      <c r="BB30" s="49">
        <f>maprop(BB33,AO34,AJ30,AM35,AO35,8)</f>
        <v>0.0032858102184730362</v>
      </c>
      <c r="BC30" s="49">
        <f>maprop(BC33,AO34,AJ30,AM35,AO35,8)</f>
        <v>0.0036723853458673055</v>
      </c>
      <c r="BD30" s="50">
        <f>maprop(BD33,AO34,AJ30,AM35,AO35,8)</f>
        <v>0.004098062855046678</v>
      </c>
      <c r="BE30" s="53">
        <f>maprop(BE33,AO34,AJ30,AM35,AO35,8)</f>
        <v>0.004566149536056544</v>
      </c>
      <c r="BH30" s="1"/>
    </row>
    <row r="31" spans="1:57" ht="9.75" customHeight="1">
      <c r="A31" s="6"/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E31" s="1"/>
      <c r="AJ31" s="16">
        <f>AJ32+(AJ12-AJ32)/20*1</f>
        <v>5</v>
      </c>
      <c r="AK31" s="48">
        <f>maprop(AK33,AO34,AJ31,AM35,AO35,8)</f>
        <v>0.0001876642578144731</v>
      </c>
      <c r="AL31" s="49">
        <f>maprop(AL33,AO34,AJ31,AM35,AO35,8)</f>
        <v>0.00021677276861250966</v>
      </c>
      <c r="AM31" s="49">
        <f>maprop(AM33,AO34,AJ31,AM35,AO35,8)</f>
        <v>0.00024981150697018427</v>
      </c>
      <c r="AN31" s="50">
        <f>maprop(AN33,AO34,AJ31,AM35,AO35,8)</f>
        <v>0.00028722898296283146</v>
      </c>
      <c r="AO31" s="48">
        <f>maprop(AO33,AO34,AJ31,AM35,AO35,8)</f>
        <v>0.00032951491657152163</v>
      </c>
      <c r="AP31" s="49">
        <f>maprop(AP33,AO34,AJ31,AM35,AO35,8)</f>
        <v>0.0003772030110872236</v>
      </c>
      <c r="AQ31" s="49">
        <f>maprop(AQ33,AO34,AJ31,AM35,AO35,8)</f>
        <v>0.0004308738328950124</v>
      </c>
      <c r="AR31" s="51">
        <f>maprop(AR33,AO34,AJ31,AM35,AO35,8)</f>
        <v>0.0004911577979018916</v>
      </c>
      <c r="AS31" s="52">
        <f>maprop(AS33,AO34,AJ31,AM35,AO35,8)</f>
        <v>0.0005587382650705466</v>
      </c>
      <c r="AT31" s="49">
        <f>maprop(AT33,AO34,AJ31,AM35,AO35,8)</f>
        <v>0.0006343547378029692</v>
      </c>
      <c r="AU31" s="49">
        <f>maprop(AU33,AO34,AJ31,AM35,AO35,8)</f>
        <v>0.0007188061742981429</v>
      </c>
      <c r="AV31" s="50">
        <f>maprop(AV33,AO34,AJ31,AM35,AO35,8)</f>
        <v>0.0008129544084933165</v>
      </c>
      <c r="AW31" s="48">
        <f>maprop(AW33,AO34,AJ31,AM35,AO35,8)</f>
        <v>0.0009177276838048349</v>
      </c>
      <c r="AX31" s="49">
        <f>maprop(AX33,AO34,AJ31,AM35,AO35,8)</f>
        <v>0.001034124302605597</v>
      </c>
      <c r="AY31" s="49">
        <f>maprop(AY33,AO34,AJ31,AM35,AO35,8)</f>
        <v>0.0011632163952473656</v>
      </c>
      <c r="AZ31" s="51">
        <f>maprop(AZ33,AO34,AJ31,AM35,AO35,8)</f>
        <v>0.001306153813432449</v>
      </c>
      <c r="BA31" s="52">
        <f>maprop(BA33,AO34,AJ31,AM35,AO35,8)</f>
        <v>0.0014641681539099133</v>
      </c>
      <c r="BB31" s="49">
        <f>maprop(BB33,AO34,AJ31,AM35,AO35,8)</f>
        <v>0.0016385769197925066</v>
      </c>
      <c r="BC31" s="49">
        <f>maprop(BC33,AO34,AJ31,AM35,AO35,8)</f>
        <v>0.0018307878282983975</v>
      </c>
      <c r="BD31" s="50">
        <f>maprop(BD33,AO34,AJ31,AM35,AO35,8)</f>
        <v>0.00204230327541382</v>
      </c>
      <c r="BE31" s="53">
        <f>maprop(BE33,AO34,AJ31,AM35,AO35,8)</f>
        <v>0.002274724969870562</v>
      </c>
    </row>
    <row r="32" spans="1:57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E32" s="1"/>
      <c r="AJ32" s="20">
        <v>0</v>
      </c>
      <c r="AK32" s="54">
        <f>maprop(AK33,AO34,AJ32,AM35,AO35,8)</f>
        <v>0</v>
      </c>
      <c r="AL32" s="55">
        <f>maprop(AL33,AO34,AJ32,AM35,AO35,8)</f>
        <v>0</v>
      </c>
      <c r="AM32" s="55">
        <f>maprop(AM33,AO34,AJ32,AM35,AO35,8)</f>
        <v>0</v>
      </c>
      <c r="AN32" s="56">
        <f>maprop(AN33,AO34,AJ32,AM35,AO35,8)</f>
        <v>0</v>
      </c>
      <c r="AO32" s="54">
        <f>maprop(AO33,AO34,AJ32,AM35,AO35,8)</f>
        <v>0</v>
      </c>
      <c r="AP32" s="55">
        <f>maprop(AP33,AO34,AJ32,AM35,AO35,8)</f>
        <v>0</v>
      </c>
      <c r="AQ32" s="55">
        <f>maprop(AQ33,AO34,AJ32,AM35,AO35,8)</f>
        <v>0</v>
      </c>
      <c r="AR32" s="57">
        <f>maprop(AR33,AO34,AJ32,AM35,AO35,8)</f>
        <v>0</v>
      </c>
      <c r="AS32" s="58">
        <f>maprop(AS33,AO34,AJ32,AM35,AO35,8)</f>
        <v>0</v>
      </c>
      <c r="AT32" s="55">
        <f>maprop(AT33,AO34,AJ32,AM35,AO35,8)</f>
        <v>0</v>
      </c>
      <c r="AU32" s="55">
        <f>maprop(AU33,AO34,AJ32,AM35,AO35,8)</f>
        <v>0</v>
      </c>
      <c r="AV32" s="56">
        <f>maprop(AV33,AO34,AJ32,AM35,AO35,8)</f>
        <v>0</v>
      </c>
      <c r="AW32" s="54">
        <f>maprop(AW33,AO34,AJ32,AM35,AO35,8)</f>
        <v>0</v>
      </c>
      <c r="AX32" s="55">
        <f>maprop(AX33,AO34,AJ32,AM35,AO35,8)</f>
        <v>0</v>
      </c>
      <c r="AY32" s="55">
        <f>maprop(AY33,AO34,AJ32,AM35,AO35,8)</f>
        <v>0</v>
      </c>
      <c r="AZ32" s="57">
        <f>maprop(AZ33,AO34,AJ32,AM35,AO35,8)</f>
        <v>0</v>
      </c>
      <c r="BA32" s="58">
        <f>maprop(BA33,AO34,AJ32,AM35,AO35,8)</f>
        <v>0</v>
      </c>
      <c r="BB32" s="55">
        <f>maprop(BB33,AO34,AJ32,AM35,AO35,8)</f>
        <v>0</v>
      </c>
      <c r="BC32" s="55">
        <f>maprop(BC33,AO34,AJ32,AM35,AO35,8)</f>
        <v>0</v>
      </c>
      <c r="BD32" s="56">
        <f>maprop(BD33,AO34,AJ32,AM35,AO35,8)</f>
        <v>0</v>
      </c>
      <c r="BE32" s="59">
        <f>maprop(BE33,AO34,AJ32,AM35,AO35,8)</f>
        <v>0</v>
      </c>
    </row>
    <row r="33" spans="1:60" ht="9.75" customHeight="1">
      <c r="A33" s="6"/>
      <c r="B33" s="6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E33" s="1"/>
      <c r="AJ33" s="3"/>
      <c r="AK33" s="18">
        <v>0.001</v>
      </c>
      <c r="AL33" s="22">
        <f>AK33+(BE33-AK33)/20*1</f>
        <v>2.00095</v>
      </c>
      <c r="AM33" s="22">
        <f>AK33+(BE33-AK33)/20*2</f>
        <v>4.000900000000001</v>
      </c>
      <c r="AN33" s="22">
        <f>AK33+(BE33-AK33)/20*3</f>
        <v>6.000850000000001</v>
      </c>
      <c r="AO33" s="24">
        <f>AK33+(BE33-AK33)/20*4</f>
        <v>8.0008</v>
      </c>
      <c r="AP33" s="15">
        <f>AK33+(BE33-AK33)/20*5</f>
        <v>10.00075</v>
      </c>
      <c r="AQ33" s="15">
        <f>AK33+(BE33-AK33)/20*6</f>
        <v>12.0007</v>
      </c>
      <c r="AR33" s="25">
        <f>AK33+(BE33-AK33)/20*7</f>
        <v>14.00065</v>
      </c>
      <c r="AS33" s="22">
        <f>AK33+(BE33-AK33)/20*8</f>
        <v>16.000600000000002</v>
      </c>
      <c r="AT33" s="22">
        <f>AK33+(BE33-AK33)/20*9</f>
        <v>18.00055</v>
      </c>
      <c r="AU33" s="22">
        <f>AK33+(BE33-AK33)/20*10</f>
        <v>20.000500000000002</v>
      </c>
      <c r="AV33" s="22">
        <f>AK33+(BE33-AK33)/20*11</f>
        <v>22.000450000000004</v>
      </c>
      <c r="AW33" s="24">
        <f>AK33+(BE33-AK33)/20*12</f>
        <v>24.000400000000003</v>
      </c>
      <c r="AX33" s="15">
        <f>AK33+(BE33-AK33)/20*13</f>
        <v>26.00035</v>
      </c>
      <c r="AY33" s="15">
        <f>AK33+(BE33-AK33)/20*14</f>
        <v>28.000300000000003</v>
      </c>
      <c r="AZ33" s="25">
        <f>AK33+(BE33-AK33)/20*15</f>
        <v>30.000250000000005</v>
      </c>
      <c r="BA33" s="22">
        <f>AK33+(BE33-AK33)/20*16</f>
        <v>32.0002</v>
      </c>
      <c r="BB33" s="22">
        <f>AK33+(BE33-AK33)/20*17</f>
        <v>34.00015</v>
      </c>
      <c r="BC33" s="22">
        <f>AK33+(BE33-AK33)/20*18</f>
        <v>36.000099999999996</v>
      </c>
      <c r="BD33" s="22">
        <f>AK33+(BE33-AK33)/20*19</f>
        <v>38.00005</v>
      </c>
      <c r="BE33" s="138">
        <f>(INT((AB43-0.001)/5)+1)*5</f>
        <v>40</v>
      </c>
      <c r="BH33" s="1"/>
    </row>
    <row r="34" spans="1:60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E34" s="1"/>
      <c r="AK34" s="27" t="s">
        <v>23</v>
      </c>
      <c r="AL34" s="1"/>
      <c r="AN34" s="1"/>
      <c r="AO34" s="21" t="s">
        <v>22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H34" s="1"/>
    </row>
    <row r="35" spans="1:60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E35" s="1"/>
      <c r="AJ35" s="1"/>
      <c r="AK35" s="26" t="s">
        <v>24</v>
      </c>
      <c r="AL35" s="1"/>
      <c r="AM35" s="7">
        <f>X45</f>
        <v>0</v>
      </c>
      <c r="AN35" s="1"/>
      <c r="AO35" s="2" t="str">
        <f>AD45</f>
        <v>mmH2O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H35" s="1"/>
    </row>
    <row r="36" spans="1:37" ht="9.75" customHeight="1">
      <c r="A36" s="6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E36" s="1"/>
      <c r="AJ36" s="135" t="s">
        <v>289</v>
      </c>
      <c r="AK36" s="66"/>
    </row>
    <row r="37" spans="1:37" ht="9.75" customHeight="1">
      <c r="A37" s="6"/>
      <c r="B37" s="6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9"/>
      <c r="Z37" s="1"/>
      <c r="AA37" s="1"/>
      <c r="AE37" s="1"/>
      <c r="AJ37" s="127">
        <f>E44</f>
        <v>0.004364057418468178</v>
      </c>
      <c r="AK37" s="127">
        <f>N44</f>
        <v>0.004364057418468178</v>
      </c>
    </row>
    <row r="38" spans="1:37" ht="9.75" customHeight="1">
      <c r="A38" s="1"/>
      <c r="B38" s="1"/>
      <c r="C38" s="76" t="s">
        <v>191</v>
      </c>
      <c r="Z38" s="1"/>
      <c r="AE38" s="1"/>
      <c r="AJ38" s="127">
        <f>X43</f>
        <v>2</v>
      </c>
      <c r="AK38" s="127">
        <f>AB43</f>
        <v>40</v>
      </c>
    </row>
    <row r="39" spans="1:31" ht="9.75" customHeight="1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E39" s="1"/>
    </row>
    <row r="40" spans="1:33" ht="9.75" customHeight="1">
      <c r="A40" s="6"/>
      <c r="B40" s="6"/>
      <c r="D40" s="194" t="s">
        <v>61</v>
      </c>
      <c r="E40" s="194"/>
      <c r="F40" s="194"/>
      <c r="M40" s="194" t="s">
        <v>60</v>
      </c>
      <c r="N40" s="194"/>
      <c r="O40" s="194"/>
      <c r="R40" s="178" t="s">
        <v>193</v>
      </c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</row>
    <row r="41" spans="1:36" ht="9.75" customHeight="1">
      <c r="A41" s="6"/>
      <c r="B41" s="6"/>
      <c r="C41" s="1"/>
      <c r="G41" s="1"/>
      <c r="H41" s="1"/>
      <c r="I41" s="1"/>
      <c r="J41" s="1"/>
      <c r="K41" s="1"/>
      <c r="L41" s="1"/>
      <c r="P41" s="1"/>
      <c r="Q41" s="1"/>
      <c r="R41" s="32"/>
      <c r="S41" s="32"/>
      <c r="T41" s="32"/>
      <c r="U41" s="32"/>
      <c r="V41" s="32"/>
      <c r="W41" s="32"/>
      <c r="X41" s="178" t="str">
        <f>D40</f>
        <v>State 1</v>
      </c>
      <c r="Y41" s="178"/>
      <c r="Z41" s="32"/>
      <c r="AA41" s="32"/>
      <c r="AB41" s="178" t="str">
        <f>M40</f>
        <v>State 2</v>
      </c>
      <c r="AC41" s="178"/>
      <c r="AD41" s="32"/>
      <c r="AE41" s="32"/>
      <c r="AF41" s="32"/>
      <c r="AG41" s="32"/>
      <c r="AJ41" s="16" t="s">
        <v>57</v>
      </c>
    </row>
    <row r="42" spans="1:41" ht="9.75" customHeight="1">
      <c r="A42" s="6"/>
      <c r="B42" s="6"/>
      <c r="C42" s="1"/>
      <c r="D42" s="23" t="s">
        <v>25</v>
      </c>
      <c r="E42" s="195">
        <f>X49</f>
        <v>3821.7844950471585</v>
      </c>
      <c r="F42" s="195"/>
      <c r="G42" s="1"/>
      <c r="H42" s="1"/>
      <c r="I42" s="1"/>
      <c r="J42" s="1"/>
      <c r="K42" s="1"/>
      <c r="L42" s="1"/>
      <c r="M42" s="23" t="s">
        <v>25</v>
      </c>
      <c r="N42" s="195">
        <f>AB49</f>
        <v>3821.7844950471595</v>
      </c>
      <c r="O42" s="195"/>
      <c r="P42" s="1"/>
      <c r="Q42" s="1"/>
      <c r="R42" s="69" t="s">
        <v>39</v>
      </c>
      <c r="S42" s="69"/>
      <c r="T42" s="69"/>
      <c r="U42" s="69"/>
      <c r="V42" s="17"/>
      <c r="W42" s="17"/>
      <c r="X42" s="198">
        <v>3000</v>
      </c>
      <c r="Y42" s="198"/>
      <c r="Z42" s="69"/>
      <c r="AA42" s="17"/>
      <c r="AB42" s="189">
        <f>IF(AD42="m3/h",AB47,IF(AD42="kg/h",AN56,IF(AD42="Nm3/h",AN56/AL52)))</f>
        <v>3414.319462111576</v>
      </c>
      <c r="AC42" s="189"/>
      <c r="AD42" s="17" t="s">
        <v>178</v>
      </c>
      <c r="AE42" s="17"/>
      <c r="AF42" s="17"/>
      <c r="AG42" s="17"/>
      <c r="AJ42" s="28" t="s">
        <v>44</v>
      </c>
      <c r="AK42" s="28"/>
      <c r="AL42" s="178" t="s">
        <v>45</v>
      </c>
      <c r="AM42" s="178"/>
      <c r="AN42" s="190" t="s">
        <v>46</v>
      </c>
      <c r="AO42" s="190"/>
    </row>
    <row r="43" spans="1:41" ht="9.75" customHeight="1">
      <c r="A43" s="1"/>
      <c r="B43" s="1"/>
      <c r="C43" s="1"/>
      <c r="D43" s="23" t="s">
        <v>26</v>
      </c>
      <c r="E43" s="196">
        <f>X50</f>
        <v>3.0912323892281695</v>
      </c>
      <c r="F43" s="196"/>
      <c r="G43" s="1"/>
      <c r="H43" s="1"/>
      <c r="I43" s="1"/>
      <c r="J43" s="15" t="s">
        <v>181</v>
      </c>
      <c r="K43" s="1"/>
      <c r="L43" s="1"/>
      <c r="M43" s="23" t="s">
        <v>28</v>
      </c>
      <c r="N43" s="196">
        <f>AB50</f>
        <v>12.29412350504603</v>
      </c>
      <c r="O43" s="196"/>
      <c r="P43" s="1"/>
      <c r="Q43" s="1"/>
      <c r="R43" s="68" t="s">
        <v>34</v>
      </c>
      <c r="S43" s="68"/>
      <c r="T43" s="68"/>
      <c r="U43" s="68"/>
      <c r="V43" s="68"/>
      <c r="W43" s="68"/>
      <c r="X43" s="188">
        <v>2</v>
      </c>
      <c r="Y43" s="188"/>
      <c r="Z43" s="68"/>
      <c r="AA43" s="17"/>
      <c r="AB43" s="188">
        <v>40</v>
      </c>
      <c r="AC43" s="188"/>
      <c r="AD43" s="74" t="s">
        <v>35</v>
      </c>
      <c r="AE43" s="17"/>
      <c r="AF43" s="17"/>
      <c r="AG43" s="17"/>
      <c r="AJ43" s="29" t="s">
        <v>47</v>
      </c>
      <c r="AK43" s="29"/>
      <c r="AL43" s="179">
        <f>((fprop("Saturated","H2O",X43,AD43,0,"","Yes",0,1,10)+1.033227)*X44/100)/(pressconv(X45,AD45,"kg/cm2.g")+1.033227)*100</f>
        <v>0.696756195696393</v>
      </c>
      <c r="AM43" s="179"/>
      <c r="AN43" s="143">
        <v>0</v>
      </c>
      <c r="AO43" s="143"/>
    </row>
    <row r="44" spans="1:41" ht="9.75" customHeight="1">
      <c r="A44" s="6"/>
      <c r="B44" s="6"/>
      <c r="C44" s="1"/>
      <c r="D44" s="23" t="s">
        <v>27</v>
      </c>
      <c r="E44" s="197">
        <f>X46</f>
        <v>0.004364057418468178</v>
      </c>
      <c r="F44" s="197"/>
      <c r="G44" s="1"/>
      <c r="H44" s="1"/>
      <c r="I44" s="1"/>
      <c r="J44" s="1"/>
      <c r="K44" s="1"/>
      <c r="L44" s="1"/>
      <c r="M44" s="23" t="s">
        <v>29</v>
      </c>
      <c r="N44" s="197">
        <f>AB46</f>
        <v>0.004364057418468178</v>
      </c>
      <c r="O44" s="197"/>
      <c r="P44" s="1"/>
      <c r="Q44" s="1"/>
      <c r="R44" s="68" t="s">
        <v>36</v>
      </c>
      <c r="S44" s="68"/>
      <c r="T44" s="68"/>
      <c r="U44" s="68"/>
      <c r="V44" s="68"/>
      <c r="W44" s="68"/>
      <c r="X44" s="188">
        <v>100</v>
      </c>
      <c r="Y44" s="188"/>
      <c r="Z44" s="68"/>
      <c r="AA44" s="17"/>
      <c r="AB44" s="191">
        <f>maprop_w(AB43,AD43,X46,AB45,AD45,8)</f>
        <v>9.560496154027975</v>
      </c>
      <c r="AC44" s="191"/>
      <c r="AD44" s="68" t="s">
        <v>37</v>
      </c>
      <c r="AE44" s="17"/>
      <c r="AF44" s="17"/>
      <c r="AG44" s="17"/>
      <c r="AJ44" s="17" t="s">
        <v>48</v>
      </c>
      <c r="AK44" s="17"/>
      <c r="AL44" s="180">
        <f>(100-AL43)*AN44/AN50</f>
        <v>77.54227116028724</v>
      </c>
      <c r="AM44" s="180"/>
      <c r="AN44" s="188">
        <v>78.084</v>
      </c>
      <c r="AO44" s="188"/>
    </row>
    <row r="45" spans="1:41" ht="9.75" customHeight="1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 t="s">
        <v>38</v>
      </c>
      <c r="S45" s="17"/>
      <c r="T45" s="17"/>
      <c r="U45" s="17"/>
      <c r="V45" s="17"/>
      <c r="W45" s="17"/>
      <c r="X45" s="188">
        <v>0</v>
      </c>
      <c r="Y45" s="188"/>
      <c r="Z45" s="17"/>
      <c r="AA45" s="17"/>
      <c r="AB45" s="149">
        <f>X45</f>
        <v>0</v>
      </c>
      <c r="AC45" s="149"/>
      <c r="AD45" s="17" t="s">
        <v>12</v>
      </c>
      <c r="AE45" s="17"/>
      <c r="AF45" s="17"/>
      <c r="AG45" s="17"/>
      <c r="AJ45" s="17" t="s">
        <v>49</v>
      </c>
      <c r="AK45" s="17"/>
      <c r="AL45" s="180">
        <f>(100-AL43)*AN45/AN50</f>
        <v>20.80227036726132</v>
      </c>
      <c r="AM45" s="180"/>
      <c r="AN45" s="188">
        <v>20.9476</v>
      </c>
      <c r="AO45" s="188"/>
    </row>
    <row r="46" spans="1:41" ht="9.75" customHeight="1">
      <c r="A46" s="1"/>
      <c r="B46" s="1"/>
      <c r="C46" s="1"/>
      <c r="D46" s="1"/>
      <c r="E46" s="1"/>
      <c r="F46" s="1"/>
      <c r="G46" s="1"/>
      <c r="H46" s="1"/>
      <c r="I46" s="15" t="s">
        <v>258</v>
      </c>
      <c r="J46" s="1"/>
      <c r="K46" s="1"/>
      <c r="L46" s="1"/>
      <c r="M46" s="1"/>
      <c r="N46" s="1"/>
      <c r="O46" s="1"/>
      <c r="P46" s="1"/>
      <c r="Q46" s="1"/>
      <c r="R46" s="17" t="s">
        <v>282</v>
      </c>
      <c r="S46" s="17"/>
      <c r="T46" s="17"/>
      <c r="U46" s="17"/>
      <c r="V46" s="17"/>
      <c r="W46" s="121" t="str">
        <f>D44</f>
        <v>W1</v>
      </c>
      <c r="X46" s="149">
        <f>maprop(X43,AD43,X44,X45,AD45,8)</f>
        <v>0.004364057418468178</v>
      </c>
      <c r="Y46" s="149"/>
      <c r="Z46" s="17"/>
      <c r="AA46" s="121" t="str">
        <f>M44</f>
        <v>W2</v>
      </c>
      <c r="AB46" s="149">
        <f>maprop(AB43,AD43,AB44,AB45,AD45,8)</f>
        <v>0.004364057418468178</v>
      </c>
      <c r="AC46" s="149"/>
      <c r="AD46" s="17" t="s">
        <v>42</v>
      </c>
      <c r="AE46" s="17"/>
      <c r="AF46" s="17"/>
      <c r="AG46" s="17"/>
      <c r="AJ46" s="17" t="s">
        <v>50</v>
      </c>
      <c r="AK46" s="17"/>
      <c r="AL46" s="180">
        <f>(100-AL43)*AN46/AN50</f>
        <v>0.9275201227358778</v>
      </c>
      <c r="AM46" s="180"/>
      <c r="AN46" s="188">
        <v>0.934</v>
      </c>
      <c r="AO46" s="188"/>
    </row>
    <row r="47" spans="1:41" ht="9.75" customHeight="1">
      <c r="A47" s="6"/>
      <c r="B47" s="6"/>
      <c r="C47" s="1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  <c r="P47" s="1"/>
      <c r="Q47" s="1"/>
      <c r="R47" s="69" t="s">
        <v>39</v>
      </c>
      <c r="S47" s="69"/>
      <c r="T47" s="69"/>
      <c r="U47" s="17" t="s">
        <v>185</v>
      </c>
      <c r="V47" s="69"/>
      <c r="W47" s="17"/>
      <c r="X47" s="176">
        <f>AL56/AL55</f>
        <v>3000</v>
      </c>
      <c r="Y47" s="176"/>
      <c r="Z47" s="69"/>
      <c r="AA47" s="73"/>
      <c r="AB47" s="176">
        <f>AN56/AN55</f>
        <v>3414.319462111576</v>
      </c>
      <c r="AC47" s="176"/>
      <c r="AD47" s="17" t="s">
        <v>186</v>
      </c>
      <c r="AE47" s="17"/>
      <c r="AF47" s="17"/>
      <c r="AG47" s="17"/>
      <c r="AJ47" s="17" t="s">
        <v>51</v>
      </c>
      <c r="AK47" s="17"/>
      <c r="AL47" s="180">
        <f>(100-AL43)*AN47/AN50</f>
        <v>0.031182154019171904</v>
      </c>
      <c r="AM47" s="180"/>
      <c r="AN47" s="188">
        <v>0.0314</v>
      </c>
      <c r="AO47" s="188"/>
    </row>
    <row r="48" spans="1:41" ht="9.75" customHeight="1">
      <c r="A48" s="6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P48" s="1"/>
      <c r="Q48" s="1"/>
      <c r="R48" s="17" t="s">
        <v>188</v>
      </c>
      <c r="S48" s="17"/>
      <c r="T48" s="17"/>
      <c r="U48" s="17"/>
      <c r="V48" s="17"/>
      <c r="W48" s="17"/>
      <c r="X48" s="180">
        <f>maprop(X43,AD43,X44,X45,AD45,1)</f>
        <v>0.7849736173998952</v>
      </c>
      <c r="Y48" s="180"/>
      <c r="Z48" s="17"/>
      <c r="AA48" s="17"/>
      <c r="AB48" s="180">
        <f>maprop(AB43,AD43,AB44,AB45,AD45,1)</f>
        <v>0.8933835663775291</v>
      </c>
      <c r="AC48" s="180"/>
      <c r="AD48" s="17" t="s">
        <v>187</v>
      </c>
      <c r="AE48" s="17"/>
      <c r="AF48" s="17"/>
      <c r="AG48" s="17"/>
      <c r="AI48" s="127">
        <f>maprop_w(AB43,AD43,X46,AB45,AD45,1)</f>
        <v>0.8933835663775291</v>
      </c>
      <c r="AJ48" s="30"/>
      <c r="AK48" s="30"/>
      <c r="AL48" s="184"/>
      <c r="AM48" s="184"/>
      <c r="AN48" s="182"/>
      <c r="AO48" s="182"/>
    </row>
    <row r="49" spans="1:41" ht="9.75" customHeight="1">
      <c r="A49" s="1"/>
      <c r="B49" s="1"/>
      <c r="C49" s="1"/>
      <c r="D49" s="1" t="s">
        <v>30</v>
      </c>
      <c r="E49" s="1"/>
      <c r="F49" s="2" t="str">
        <f>J43</f>
        <v>Q</v>
      </c>
      <c r="G49" s="2" t="s">
        <v>31</v>
      </c>
      <c r="H49" s="1"/>
      <c r="I49" s="1"/>
      <c r="J49" s="1"/>
      <c r="K49" s="1"/>
      <c r="L49" s="1"/>
      <c r="M49" s="1"/>
      <c r="N49" s="1"/>
      <c r="P49" s="1"/>
      <c r="Q49" s="1"/>
      <c r="R49" s="17" t="s">
        <v>189</v>
      </c>
      <c r="S49" s="17"/>
      <c r="T49" s="17"/>
      <c r="U49" s="17"/>
      <c r="V49" s="17"/>
      <c r="W49" s="121" t="str">
        <f>D42</f>
        <v>ma</v>
      </c>
      <c r="X49" s="176">
        <f>X47/X48</f>
        <v>3821.7844950471585</v>
      </c>
      <c r="Y49" s="176"/>
      <c r="Z49" s="17"/>
      <c r="AA49" s="122" t="str">
        <f>M42</f>
        <v>ma</v>
      </c>
      <c r="AB49" s="176">
        <f>AB47/AB48</f>
        <v>3821.7844950471595</v>
      </c>
      <c r="AC49" s="176"/>
      <c r="AD49" s="17" t="s">
        <v>190</v>
      </c>
      <c r="AE49" s="17"/>
      <c r="AF49" s="17"/>
      <c r="AG49" s="17"/>
      <c r="AJ49" s="31"/>
      <c r="AK49" s="31"/>
      <c r="AL49" s="200"/>
      <c r="AM49" s="200"/>
      <c r="AN49" s="183"/>
      <c r="AO49" s="183"/>
    </row>
    <row r="50" spans="1:43" ht="9.75" customHeight="1">
      <c r="A50" s="6"/>
      <c r="B50" s="6"/>
      <c r="C50" s="1"/>
      <c r="D50" s="1"/>
      <c r="E50" s="1"/>
      <c r="G50" s="2" t="s">
        <v>32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75" t="s">
        <v>281</v>
      </c>
      <c r="S50" s="175"/>
      <c r="T50" s="175"/>
      <c r="U50" s="17"/>
      <c r="V50" s="17"/>
      <c r="W50" s="121" t="str">
        <f>D43</f>
        <v>h1</v>
      </c>
      <c r="X50" s="191">
        <f>maprop(X43,AD43,X44,X45,AD45,3)</f>
        <v>3.0912323892281695</v>
      </c>
      <c r="Y50" s="191"/>
      <c r="Z50" s="17"/>
      <c r="AA50" s="121" t="str">
        <f>M43</f>
        <v>h2</v>
      </c>
      <c r="AB50" s="191">
        <f>maprop(AB43,AD43,AB44,AB45,AD45,3)</f>
        <v>12.29412350504603</v>
      </c>
      <c r="AC50" s="191"/>
      <c r="AD50" s="17" t="s">
        <v>41</v>
      </c>
      <c r="AE50" s="17"/>
      <c r="AF50" s="17"/>
      <c r="AG50" s="17"/>
      <c r="AI50" s="127">
        <f>maprop_w(AB43,AD43,X46,AB45,AD45,3)</f>
        <v>12.29412350504603</v>
      </c>
      <c r="AJ50" s="28" t="s">
        <v>52</v>
      </c>
      <c r="AK50" s="28"/>
      <c r="AL50" s="186">
        <f>SUM(AL43:AM49)</f>
        <v>100</v>
      </c>
      <c r="AM50" s="186"/>
      <c r="AN50" s="185">
        <f>SUM(AN43:AP49)</f>
        <v>99.997</v>
      </c>
      <c r="AO50" s="185"/>
      <c r="AQ50" s="1"/>
    </row>
    <row r="51" spans="1:43" ht="9.75" customHeight="1">
      <c r="A51" s="1"/>
      <c r="B51" s="1"/>
      <c r="R51" s="175"/>
      <c r="S51" s="175"/>
      <c r="T51" s="175"/>
      <c r="U51" s="17"/>
      <c r="V51" s="17"/>
      <c r="W51" s="17"/>
      <c r="X51" s="191">
        <f>X50*4.1868</f>
        <v>12.9423717672205</v>
      </c>
      <c r="Y51" s="191"/>
      <c r="Z51" s="17"/>
      <c r="AA51" s="17"/>
      <c r="AB51" s="191">
        <f>AB50*4.1868</f>
        <v>51.47303629092672</v>
      </c>
      <c r="AC51" s="191"/>
      <c r="AD51" s="17" t="s">
        <v>288</v>
      </c>
      <c r="AE51" s="17"/>
      <c r="AF51" s="17"/>
      <c r="AG51" s="17"/>
      <c r="AJ51" s="29" t="s">
        <v>53</v>
      </c>
      <c r="AK51" s="29"/>
      <c r="AL51" s="187">
        <f>gmconv(AJ43,AJ44,AJ45,AJ46,AJ47,"","","","","",AL43,AL44,AL45,AL46,AL47,0,0,0,0,0,AL42,-1)</f>
        <v>28.88847444391228</v>
      </c>
      <c r="AM51" s="187"/>
      <c r="AN51" s="29"/>
      <c r="AO51" s="32"/>
      <c r="AQ51" s="1"/>
    </row>
    <row r="52" spans="1:43" ht="9.75" customHeight="1">
      <c r="A52" s="1"/>
      <c r="B52" s="1"/>
      <c r="R52" s="33" t="s">
        <v>259</v>
      </c>
      <c r="S52" s="33"/>
      <c r="T52" s="33"/>
      <c r="U52" s="33"/>
      <c r="V52" s="101" t="str">
        <f>J43</f>
        <v>Q</v>
      </c>
      <c r="W52" s="193">
        <f>E42*(N43-E43)</f>
        <v>35171.466576039944</v>
      </c>
      <c r="X52" s="193"/>
      <c r="Y52" s="193"/>
      <c r="Z52" s="33"/>
      <c r="AA52" s="71" t="s">
        <v>179</v>
      </c>
      <c r="AB52" s="192">
        <f>W52/860</f>
        <v>40.89705415818598</v>
      </c>
      <c r="AC52" s="192"/>
      <c r="AD52" s="33" t="s">
        <v>180</v>
      </c>
      <c r="AE52" s="33"/>
      <c r="AF52" s="33"/>
      <c r="AG52" s="33"/>
      <c r="AJ52" s="17" t="s">
        <v>54</v>
      </c>
      <c r="AK52" s="17"/>
      <c r="AL52" s="181">
        <f>gmconv(AJ43,AJ44,AJ45,AJ46,AJ47,"","","","","",AL43,AL44,AL45,AL46,AL47,0,0,0,0,0,AL42,-2)</f>
        <v>1.2888682765913848</v>
      </c>
      <c r="AM52" s="181"/>
      <c r="AN52" s="17" t="s">
        <v>278</v>
      </c>
      <c r="AO52" s="17"/>
      <c r="AP52" s="1"/>
      <c r="AQ52" s="1"/>
    </row>
    <row r="53" spans="1:43" ht="9.75" customHeight="1">
      <c r="A53" s="6"/>
      <c r="B53" s="6"/>
      <c r="C53" s="66" t="s">
        <v>192</v>
      </c>
      <c r="R53" s="1"/>
      <c r="Z53" s="1"/>
      <c r="AJ53" s="33" t="s">
        <v>55</v>
      </c>
      <c r="AK53" s="33"/>
      <c r="AL53" s="177">
        <f>gmprop(X43,AD43,X45,AD45,AJ43,AJ44,AJ45,AJ46,AJ47,"","","","","",AL43,AL44,AL45,AL46,AL47,0,0,0,0,0,AL42,-4)</f>
        <v>2.0000000000001705</v>
      </c>
      <c r="AM53" s="177"/>
      <c r="AN53" s="34" t="s">
        <v>56</v>
      </c>
      <c r="AO53" s="35"/>
      <c r="AP53" s="1"/>
      <c r="AQ53" s="1"/>
    </row>
    <row r="54" spans="1:45" ht="9.75" customHeight="1">
      <c r="A54" s="6"/>
      <c r="B54" s="6"/>
      <c r="R54" s="1"/>
      <c r="Z54" s="6"/>
      <c r="AO54" s="1"/>
      <c r="AP54" s="1"/>
      <c r="AQ54" s="1"/>
      <c r="AR54" s="1"/>
      <c r="AS54" s="1"/>
    </row>
    <row r="55" spans="1:45" ht="9.75" customHeight="1">
      <c r="A55" s="1"/>
      <c r="B55" s="1"/>
      <c r="D55" s="2" t="str">
        <f>M44</f>
        <v>W2</v>
      </c>
      <c r="E55" s="7" t="s">
        <v>33</v>
      </c>
      <c r="F55" s="2" t="str">
        <f>D44</f>
        <v>W1</v>
      </c>
      <c r="R55" s="1"/>
      <c r="Z55" s="6"/>
      <c r="AE55" s="1"/>
      <c r="AJ55" s="17" t="s">
        <v>58</v>
      </c>
      <c r="AK55" s="17"/>
      <c r="AL55" s="180">
        <f>gmprop(X43,AD43,X45,AD45,AJ43,AJ44,AJ45,AJ46,AJ47,"","","","","",AL43,AL44,AL45,AL46,AL47,0,0,0,0,0,AL42,2)</f>
        <v>1.2794997992038408</v>
      </c>
      <c r="AM55" s="180"/>
      <c r="AN55" s="180">
        <f>gmprop(AB43,AD43,AB45,AD45,AJ43,AJ44,AJ45,AJ46,AJ47,"","","","","",AL43,AL44,AL45,AL46,AL47,0,0,0,0,0,AL42,2)</f>
        <v>1.1242355732107194</v>
      </c>
      <c r="AO55" s="180"/>
      <c r="AP55" s="17" t="s">
        <v>59</v>
      </c>
      <c r="AQ55" s="1"/>
      <c r="AR55" s="1"/>
      <c r="AS55" s="1"/>
    </row>
    <row r="56" spans="1:45" ht="9.75" customHeight="1">
      <c r="A56" s="6"/>
      <c r="B56" s="6"/>
      <c r="Z56" s="6"/>
      <c r="AJ56" s="69" t="s">
        <v>39</v>
      </c>
      <c r="AK56" s="17"/>
      <c r="AL56" s="199">
        <f>IF(AD42="kg/h",X42,IF(AD42="m3/h",X42*AL55,IF(AD42="Nm3/h",X42*AL52)))</f>
        <v>3838.4993976115225</v>
      </c>
      <c r="AM56" s="199"/>
      <c r="AN56" s="176">
        <f>AL56</f>
        <v>3838.4993976115225</v>
      </c>
      <c r="AO56" s="176"/>
      <c r="AP56" s="70" t="s">
        <v>43</v>
      </c>
      <c r="AQ56" s="1"/>
      <c r="AR56" s="1"/>
      <c r="AS56" s="1"/>
    </row>
    <row r="57" spans="1:26" ht="9.75" customHeight="1">
      <c r="A57" s="6"/>
      <c r="B57" s="6"/>
      <c r="D57" s="6" t="str">
        <f>J43</f>
        <v>Q</v>
      </c>
      <c r="E57" s="6" t="s">
        <v>261</v>
      </c>
      <c r="F57" s="67" t="str">
        <f>D42</f>
        <v>ma</v>
      </c>
      <c r="G57" s="67" t="s">
        <v>262</v>
      </c>
      <c r="H57" s="67" t="str">
        <f>M43</f>
        <v>h2</v>
      </c>
      <c r="I57" s="67" t="s">
        <v>263</v>
      </c>
      <c r="J57" s="67" t="str">
        <f>D43</f>
        <v>h1</v>
      </c>
      <c r="K57" s="67" t="s">
        <v>264</v>
      </c>
      <c r="Z57" s="6"/>
    </row>
    <row r="58" spans="1:31" ht="9.75" customHeight="1">
      <c r="A58" s="1"/>
      <c r="B58" s="1"/>
      <c r="Z58" s="1"/>
      <c r="AE58" s="1"/>
    </row>
    <row r="59" spans="1:31" ht="9.75" customHeight="1">
      <c r="A59" s="6"/>
      <c r="B59" s="6"/>
      <c r="Z59" s="6"/>
      <c r="AE59" s="1"/>
    </row>
    <row r="60" spans="1:31" ht="9.75" customHeight="1">
      <c r="A60" s="6"/>
      <c r="B60" s="6"/>
      <c r="C60" s="6"/>
      <c r="AE60" s="1"/>
    </row>
    <row r="61" spans="1:31" ht="9.75" customHeight="1">
      <c r="A61" s="1"/>
      <c r="B61" s="1"/>
      <c r="C61" s="1"/>
      <c r="AE61" s="1"/>
    </row>
    <row r="62" spans="1:31" ht="9.75" customHeight="1">
      <c r="A62" s="6"/>
      <c r="B62" s="6"/>
      <c r="C62" s="6"/>
      <c r="AE62" s="1"/>
    </row>
    <row r="63" spans="1:31" ht="9.75" customHeight="1">
      <c r="A63" s="6"/>
      <c r="B63" s="6"/>
      <c r="C63" s="6"/>
      <c r="AE63" s="1"/>
    </row>
    <row r="64" spans="1:31" ht="9.75" customHeight="1">
      <c r="A64" s="6"/>
      <c r="B64" s="6"/>
      <c r="C64" s="6"/>
      <c r="AE64" s="1"/>
    </row>
    <row r="65" spans="1:31" ht="9.75" customHeight="1">
      <c r="A65" s="1"/>
      <c r="B65" s="1"/>
      <c r="C65" s="1"/>
      <c r="AE65" s="1"/>
    </row>
    <row r="66" spans="1:31" ht="9.75" customHeight="1">
      <c r="A66" s="1"/>
      <c r="B66" s="1"/>
      <c r="C66" s="1"/>
      <c r="AE66" s="1"/>
    </row>
    <row r="67" spans="1:31" ht="9.75" customHeight="1">
      <c r="A67" s="6"/>
      <c r="B67" s="6"/>
      <c r="C67" s="6"/>
      <c r="AE67" s="1"/>
    </row>
    <row r="68" spans="1:31" ht="9.75" customHeight="1">
      <c r="A68" s="6"/>
      <c r="B68" s="6"/>
      <c r="C68" s="6"/>
      <c r="AE68" s="1"/>
    </row>
    <row r="69" spans="1:31" ht="9.75" customHeight="1">
      <c r="A69" s="1"/>
      <c r="B69" s="1"/>
      <c r="C69" s="1"/>
      <c r="AE69" s="1"/>
    </row>
    <row r="70" spans="1:31" ht="9.75" customHeight="1">
      <c r="A70" s="6"/>
      <c r="B70" s="6"/>
      <c r="C70" s="6"/>
      <c r="AE70" s="1"/>
    </row>
    <row r="71" spans="1:31" ht="9.75" customHeight="1">
      <c r="A71" s="6"/>
      <c r="B71" s="6"/>
      <c r="C71" s="6"/>
      <c r="AE71" s="1"/>
    </row>
    <row r="72" spans="1:31" ht="9.75" customHeight="1">
      <c r="A72" s="1"/>
      <c r="B72" s="1"/>
      <c r="C72" s="1"/>
      <c r="AE72" s="1"/>
    </row>
    <row r="73" spans="1:31" ht="9.75" customHeight="1">
      <c r="A73" s="6"/>
      <c r="B73" s="6"/>
      <c r="C73" s="6"/>
      <c r="D73" s="1"/>
      <c r="AE73" s="1"/>
    </row>
    <row r="74" spans="1:31" ht="9.75" customHeight="1">
      <c r="A74" s="6"/>
      <c r="B74" s="6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E74" s="1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63">
    <mergeCell ref="AL56:AM56"/>
    <mergeCell ref="X47:Y47"/>
    <mergeCell ref="AB47:AC47"/>
    <mergeCell ref="X48:Y48"/>
    <mergeCell ref="AB48:AC48"/>
    <mergeCell ref="X50:Y50"/>
    <mergeCell ref="AL49:AM49"/>
    <mergeCell ref="X45:Y45"/>
    <mergeCell ref="N42:O42"/>
    <mergeCell ref="N43:O43"/>
    <mergeCell ref="N44:O44"/>
    <mergeCell ref="X42:Y42"/>
    <mergeCell ref="E42:F42"/>
    <mergeCell ref="E43:F43"/>
    <mergeCell ref="X43:Y43"/>
    <mergeCell ref="X44:Y44"/>
    <mergeCell ref="E44:F44"/>
    <mergeCell ref="X41:Y41"/>
    <mergeCell ref="AB41:AC41"/>
    <mergeCell ref="AC1:AH1"/>
    <mergeCell ref="A2:X4"/>
    <mergeCell ref="AC2:AH2"/>
    <mergeCell ref="AE4:AF4"/>
    <mergeCell ref="D40:F40"/>
    <mergeCell ref="M40:O40"/>
    <mergeCell ref="R40:AG40"/>
    <mergeCell ref="X46:Y46"/>
    <mergeCell ref="AB46:AC46"/>
    <mergeCell ref="AL55:AM55"/>
    <mergeCell ref="AB52:AC52"/>
    <mergeCell ref="AB50:AC50"/>
    <mergeCell ref="X49:Y49"/>
    <mergeCell ref="AB49:AC49"/>
    <mergeCell ref="W52:Y52"/>
    <mergeCell ref="X51:Y51"/>
    <mergeCell ref="AB51:AC51"/>
    <mergeCell ref="AN45:AO45"/>
    <mergeCell ref="AN46:AO46"/>
    <mergeCell ref="AN47:AO47"/>
    <mergeCell ref="AB42:AC42"/>
    <mergeCell ref="AN42:AO42"/>
    <mergeCell ref="AN43:AO43"/>
    <mergeCell ref="AN44:AO44"/>
    <mergeCell ref="AB43:AC43"/>
    <mergeCell ref="AB44:AC44"/>
    <mergeCell ref="AB45:AC45"/>
    <mergeCell ref="AN48:AO48"/>
    <mergeCell ref="AN49:AO49"/>
    <mergeCell ref="AN55:AO55"/>
    <mergeCell ref="AL48:AM48"/>
    <mergeCell ref="AN50:AO50"/>
    <mergeCell ref="AL50:AM50"/>
    <mergeCell ref="AL51:AM51"/>
    <mergeCell ref="R50:T51"/>
    <mergeCell ref="AN56:AO56"/>
    <mergeCell ref="AL53:AM53"/>
    <mergeCell ref="AL42:AM42"/>
    <mergeCell ref="AL43:AM43"/>
    <mergeCell ref="AL44:AM44"/>
    <mergeCell ref="AL45:AM45"/>
    <mergeCell ref="AL46:AM46"/>
    <mergeCell ref="AL47:AM47"/>
    <mergeCell ref="AL52:AM52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H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34" width="2.3359375" style="2" customWidth="1"/>
    <col min="35" max="63" width="4.3359375" style="2" customWidth="1"/>
    <col min="64" max="16384" width="8.88671875" style="2" customWidth="1"/>
  </cols>
  <sheetData>
    <row r="1" spans="1:34" ht="9.75" customHeight="1">
      <c r="A1" s="77"/>
      <c r="B1" s="103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104" t="s">
        <v>229</v>
      </c>
      <c r="Z1" s="105"/>
      <c r="AA1" s="106"/>
      <c r="AB1" s="105"/>
      <c r="AC1" s="173" t="str">
        <f>docno</f>
        <v>TM - PSY - 200</v>
      </c>
      <c r="AD1" s="164"/>
      <c r="AE1" s="164"/>
      <c r="AF1" s="164"/>
      <c r="AG1" s="164"/>
      <c r="AH1" s="164"/>
    </row>
    <row r="2" spans="1:34" ht="9.75" customHeight="1">
      <c r="A2" s="167" t="str">
        <f>title</f>
        <v>P S Y C H R O M E T R I C S   :     P R O C E S S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/>
      <c r="Y2" s="107" t="s">
        <v>240</v>
      </c>
      <c r="Z2" s="17"/>
      <c r="AA2" s="108"/>
      <c r="AB2" s="17"/>
      <c r="AC2" s="174" t="s">
        <v>241</v>
      </c>
      <c r="AD2" s="165"/>
      <c r="AE2" s="165"/>
      <c r="AF2" s="165"/>
      <c r="AG2" s="165"/>
      <c r="AH2" s="165"/>
    </row>
    <row r="3" spans="1:34" ht="9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09" t="s">
        <v>242</v>
      </c>
      <c r="Z3" s="68"/>
      <c r="AA3" s="68"/>
      <c r="AB3" s="68"/>
      <c r="AC3" s="110">
        <v>0</v>
      </c>
      <c r="AD3" s="111">
        <v>1</v>
      </c>
      <c r="AE3" s="111"/>
      <c r="AF3" s="111"/>
      <c r="AG3" s="111"/>
      <c r="AH3" s="112"/>
    </row>
    <row r="4" spans="1:34" ht="9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13" t="s">
        <v>243</v>
      </c>
      <c r="Z4" s="114"/>
      <c r="AA4" s="115"/>
      <c r="AB4" s="114"/>
      <c r="AC4" s="116"/>
      <c r="AD4" s="117">
        <v>3</v>
      </c>
      <c r="AE4" s="171" t="s">
        <v>244</v>
      </c>
      <c r="AF4" s="171"/>
      <c r="AG4" s="120">
        <f>sheetqty</f>
        <v>5</v>
      </c>
      <c r="AH4" s="119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4" ht="9.75" customHeight="1">
      <c r="A6" s="6"/>
      <c r="B6" s="1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AH6" s="3"/>
    </row>
    <row r="7" spans="1:31" ht="9.75" customHeight="1">
      <c r="A7" s="6"/>
      <c r="B7" s="6"/>
      <c r="C7" s="6"/>
      <c r="AE7" s="1"/>
    </row>
    <row r="8" spans="1:33" ht="9.75" customHeight="1">
      <c r="A8" s="6"/>
      <c r="B8" s="6"/>
      <c r="C8" s="11" t="s">
        <v>82</v>
      </c>
      <c r="D8" s="14" t="s">
        <v>177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6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C10" s="3"/>
      <c r="AJ10" s="1"/>
      <c r="AK10" s="1"/>
      <c r="AL10" s="1"/>
      <c r="AM10" s="1"/>
      <c r="AN10" s="1"/>
      <c r="AO10" s="1"/>
      <c r="AP10" s="1"/>
      <c r="AQ10" s="1"/>
      <c r="AR10" s="1"/>
      <c r="AS10" s="8" t="s">
        <v>62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H10" s="1"/>
    </row>
    <row r="11" spans="1:6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  <c r="AJ11" s="23" t="s">
        <v>11</v>
      </c>
      <c r="AK11" s="137" t="str">
        <f>"Rh "&amp;AJ12&amp;" %"</f>
        <v>Rh 100 %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H11" s="1"/>
    </row>
    <row r="12" spans="1:60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  <c r="AJ12" s="20">
        <v>100</v>
      </c>
      <c r="AK12" s="36">
        <f>maprop(AK33,AO34,AJ12,AM35,AO35,8)</f>
        <v>0.0037749258179982426</v>
      </c>
      <c r="AL12" s="37">
        <f>maprop(AL33,AO34,AJ12,AM35,AO35,8)</f>
        <v>0.004209768684299504</v>
      </c>
      <c r="AM12" s="37">
        <f>maprop(AM33,AO34,AJ12,AM35,AO35,8)</f>
        <v>0.004688807792455753</v>
      </c>
      <c r="AN12" s="38">
        <f>maprop(AN33,AO34,AJ12,AM35,AO35,8)</f>
        <v>0.005215951723621687</v>
      </c>
      <c r="AO12" s="36">
        <f>maprop(AO33,AO34,AJ12,AM35,AO35,8)</f>
        <v>0.005795409834348085</v>
      </c>
      <c r="AP12" s="37">
        <f>maprop(AP33,AO34,AJ12,AM35,AO35,8)</f>
        <v>0.006431713789501151</v>
      </c>
      <c r="AQ12" s="37">
        <f>maprop(AQ33,AO34,AJ12,AM35,AO35,8)</f>
        <v>0.007129740904232154</v>
      </c>
      <c r="AR12" s="39">
        <f>maprop(AR33,AO34,AJ12,AM35,AO35,8)</f>
        <v>0.007894739515005198</v>
      </c>
      <c r="AS12" s="40">
        <f>maprop(AS33,AO34,AJ12,AM35,AO35,8)</f>
        <v>0.008732356632416888</v>
      </c>
      <c r="AT12" s="37">
        <f>maprop(AT33,AO34,AJ12,AM35,AO35,8)</f>
        <v>0.009648668166362331</v>
      </c>
      <c r="AU12" s="37">
        <f>maprop(AU33,AO34,AJ12,AM35,AO35,8)</f>
        <v>0.010650212057886601</v>
      </c>
      <c r="AV12" s="38">
        <f>maprop(AV33,AO34,AJ12,AM35,AO35,8)</f>
        <v>0.01174402470283785</v>
      </c>
      <c r="AW12" s="36">
        <f>maprop(AW33,AO34,AJ12,AM35,AO35,8)</f>
        <v>0.012937681111461029</v>
      </c>
      <c r="AX12" s="37">
        <f>maprop(AX33,AO34,AJ12,AM35,AO35,8)</f>
        <v>0.014239339316840783</v>
      </c>
      <c r="AY12" s="37">
        <f>maprop(AY33,AO34,AJ12,AM35,AO35,8)</f>
        <v>0.015657789625430702</v>
      </c>
      <c r="AZ12" s="39">
        <f>maprop(AZ33,AO34,AJ12,AM35,AO35,8)</f>
        <v>0.01720250939700732</v>
      </c>
      <c r="BA12" s="40">
        <f>maprop(BA33,AO34,AJ12,AM35,AO35,8)</f>
        <v>0.018883724151942574</v>
      </c>
      <c r="BB12" s="37">
        <f>maprop(BB33,AO34,AJ12,AM35,AO35,8)</f>
        <v>0.02071247593398786</v>
      </c>
      <c r="BC12" s="37">
        <f>maprop(BC33,AO34,AJ12,AM35,AO35,8)</f>
        <v>0.022700700010842845</v>
      </c>
      <c r="BD12" s="38">
        <f>maprop(BD33,AO34,AJ12,AM35,AO35,8)</f>
        <v>0.024861311177598634</v>
      </c>
      <c r="BE12" s="41">
        <f>maprop(BE33,AO34,AJ12,AM35,AO35,8)</f>
        <v>0.02720830114586835</v>
      </c>
      <c r="BH12" s="1"/>
    </row>
    <row r="13" spans="1:60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  <c r="AJ13" s="16">
        <f>AJ32+(AJ12-AJ32)/20*19</f>
        <v>95</v>
      </c>
      <c r="AK13" s="42">
        <f>maprop(AK33,AO34,AJ13,AM35,AO35,8)</f>
        <v>0.003585091585384782</v>
      </c>
      <c r="AL13" s="43">
        <f>maprop(AL33,AO34,AJ13,AM35,AO35,8)</f>
        <v>0.0039979272741397735</v>
      </c>
      <c r="AM13" s="43">
        <f>maprop(AM33,AO34,AJ13,AM35,AO35,8)</f>
        <v>0.004452689055856128</v>
      </c>
      <c r="AN13" s="44">
        <f>maprop(AN33,AO34,AJ13,AM35,AO35,8)</f>
        <v>0.004953077285101674</v>
      </c>
      <c r="AO13" s="42">
        <f>maprop(AO33,AO34,AJ13,AM35,AO35,8)</f>
        <v>0.005503075528250265</v>
      </c>
      <c r="AP13" s="43">
        <f>maprop(AP33,AO34,AJ13,AM35,AO35,8)</f>
        <v>0.0061069705554634614</v>
      </c>
      <c r="AQ13" s="43">
        <f>maprop(AQ33,AO34,AJ13,AM35,AO35,8)</f>
        <v>0.006769373970857878</v>
      </c>
      <c r="AR13" s="45">
        <f>maprop(AR33,AO34,AJ13,AM35,AO35,8)</f>
        <v>0.007495245676404803</v>
      </c>
      <c r="AS13" s="46">
        <f>maprop(AS33,AO34,AJ13,AM35,AO35,8)</f>
        <v>0.008289919393902072</v>
      </c>
      <c r="AT13" s="43">
        <f>maprop(AT33,AO34,AJ13,AM35,AO35,8)</f>
        <v>0.009159130502581133</v>
      </c>
      <c r="AU13" s="43">
        <f>maprop(AU33,AO34,AJ13,AM35,AO35,8)</f>
        <v>0.010109046488293456</v>
      </c>
      <c r="AV13" s="44">
        <f>maprop(AV33,AO34,AJ13,AM35,AO35,8)</f>
        <v>0.011146300344624828</v>
      </c>
      <c r="AW13" s="42">
        <f>maprop(AW33,AO34,AJ13,AM35,AO35,8)</f>
        <v>0.012278027317792775</v>
      </c>
      <c r="AX13" s="43">
        <f>maprop(AX33,AO34,AJ13,AM35,AO35,8)</f>
        <v>0.013511905447033378</v>
      </c>
      <c r="AY13" s="43">
        <f>maprop(AY33,AO34,AJ13,AM35,AO35,8)</f>
        <v>0.01485620042191741</v>
      </c>
      <c r="AZ13" s="45">
        <f>maprop(AZ33,AO34,AJ13,AM35,AO35,8)</f>
        <v>0.016319815359496892</v>
      </c>
      <c r="BA13" s="46">
        <f>maprop(BA33,AO34,AJ13,AM35,AO35,8)</f>
        <v>0.017912346199616465</v>
      </c>
      <c r="BB13" s="43">
        <f>maprop(BB33,AO34,AJ13,AM35,AO35,8)</f>
        <v>0.019644143528854276</v>
      </c>
      <c r="BC13" s="43">
        <f>maprop(BC33,AO34,AJ13,AM35,AO35,8)</f>
        <v>0.021526381775738783</v>
      </c>
      <c r="BD13" s="44">
        <f>maprop(BD33,AO34,AJ13,AM35,AO35,8)</f>
        <v>0.02357113687621403</v>
      </c>
      <c r="BE13" s="47">
        <f>maprop(BE33,AO34,AJ13,AM35,AO35,8)</f>
        <v>0.02579147369385556</v>
      </c>
      <c r="BH13" s="1"/>
    </row>
    <row r="14" spans="1:60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AC14" s="3"/>
      <c r="AJ14" s="16">
        <f>AJ32+(AJ12-AJ32)/20*18</f>
        <v>90</v>
      </c>
      <c r="AK14" s="48">
        <f>maprop(AK33,AO34,AJ14,AM35,AO35,8)</f>
        <v>0.003395372498119332</v>
      </c>
      <c r="AL14" s="49">
        <f>maprop(AL33,AO34,AJ14,AM35,AO35,8)</f>
        <v>0.003786229149463042</v>
      </c>
      <c r="AM14" s="49">
        <f>maprop(AM33,AO34,AJ14,AM35,AO35,8)</f>
        <v>0.004216748185100027</v>
      </c>
      <c r="AN14" s="50">
        <f>maprop(AN33,AO34,AJ14,AM35,AO35,8)</f>
        <v>0.004690423111238799</v>
      </c>
      <c r="AO14" s="48">
        <f>maprop(AO33,AO34,AJ14,AM35,AO35,8)</f>
        <v>0.005211013358410492</v>
      </c>
      <c r="AP14" s="49">
        <f>maprop(AP33,AO34,AJ14,AM35,AO35,8)</f>
        <v>0.005782562784642283</v>
      </c>
      <c r="AQ14" s="49">
        <f>maprop(AQ33,AO34,AJ14,AM35,AO35,8)</f>
        <v>0.0064094196553988346</v>
      </c>
      <c r="AR14" s="51">
        <f>maprop(AR33,AO34,AJ14,AM35,AO35,8)</f>
        <v>0.00709625827306725</v>
      </c>
      <c r="AS14" s="52">
        <f>maprop(AS33,AO34,AJ14,AM35,AO35,8)</f>
        <v>0.007848102453950867</v>
      </c>
      <c r="AT14" s="49">
        <f>maprop(AT33,AO34,AJ14,AM35,AO35,8)</f>
        <v>0.008670351079745309</v>
      </c>
      <c r="AU14" s="49">
        <f>maprop(AU33,AO34,AJ14,AM35,AO35,8)</f>
        <v>0.009568805983904086</v>
      </c>
      <c r="AV14" s="50">
        <f>maprop(AV33,AO34,AJ14,AM35,AO35,8)</f>
        <v>0.010549702471908113</v>
      </c>
      <c r="AW14" s="48">
        <f>maprop(AW33,AO34,AJ14,AM35,AO35,8)</f>
        <v>0.011619742819113344</v>
      </c>
      <c r="AX14" s="49">
        <f>maprop(AX33,AO34,AJ14,AM35,AO35,8)</f>
        <v>0.01278613314162832</v>
      </c>
      <c r="AY14" s="49">
        <f>maprop(AY33,AO34,AJ14,AM35,AO35,8)</f>
        <v>0.014056624095826923</v>
      </c>
      <c r="AZ14" s="51">
        <f>maprop(AZ33,AO34,AJ14,AM35,AO35,8)</f>
        <v>0.015439555932183331</v>
      </c>
      <c r="BA14" s="52">
        <f>maprop(BA33,AO34,AJ14,AM35,AO35,8)</f>
        <v>0.0169439085109635</v>
      </c>
      <c r="BB14" s="49">
        <f>maprop(BB33,AO34,AJ14,AM35,AO35,8)</f>
        <v>0.01857935698319135</v>
      </c>
      <c r="BC14" s="49">
        <f>maprop(BC33,AO34,AJ14,AM35,AO35,8)</f>
        <v>0.020356333952964135</v>
      </c>
      <c r="BD14" s="50">
        <f>maprop(BD33,AO34,AJ14,AM35,AO35,8)</f>
        <v>0.02228609906997946</v>
      </c>
      <c r="BE14" s="53">
        <f>maprop(BE33,AO34,AJ14,AM35,AO35,8)</f>
        <v>0.024380817158188784</v>
      </c>
      <c r="BH14" s="1"/>
    </row>
    <row r="15" spans="1:60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"/>
      <c r="W15" s="3"/>
      <c r="X15" s="3"/>
      <c r="Y15" s="3"/>
      <c r="Z15" s="3"/>
      <c r="AA15" s="3"/>
      <c r="AB15" s="3"/>
      <c r="AC15" s="3"/>
      <c r="AJ15" s="16">
        <f>AJ32+(AJ12-AJ32)/20*17</f>
        <v>85</v>
      </c>
      <c r="AK15" s="48">
        <f>maprop(AK33,AO34,AJ15,AM35,AO35,8)</f>
        <v>0.00320576845147</v>
      </c>
      <c r="AL15" s="49">
        <f>maprop(AL33,AO34,AJ15,AM35,AO35,8)</f>
        <v>0.0035746741649451096</v>
      </c>
      <c r="AM15" s="49">
        <f>maprop(AM33,AO34,AJ15,AM35,AO35,8)</f>
        <v>0.003980984979286049</v>
      </c>
      <c r="AN15" s="50">
        <f>maprop(AN33,AO34,AJ15,AM35,AO35,8)</f>
        <v>0.004427988925306916</v>
      </c>
      <c r="AO15" s="48">
        <f>maprop(AO33,AO34,AJ15,AM35,AO35,8)</f>
        <v>0.004919222945005082</v>
      </c>
      <c r="AP15" s="49">
        <f>maprop(AP33,AO34,AJ15,AM35,AO35,8)</f>
        <v>0.005458489957500348</v>
      </c>
      <c r="AQ15" s="49">
        <f>maprop(AQ33,AO34,AJ15,AM35,AO35,8)</f>
        <v>0.006049877249593052</v>
      </c>
      <c r="AR15" s="51">
        <f>maprop(AR33,AO34,AJ15,AM35,AO35,8)</f>
        <v>0.006697776342596153</v>
      </c>
      <c r="AS15" s="52">
        <f>maprop(AS33,AO34,AJ15,AM35,AO35,8)</f>
        <v>0.007406904508985796</v>
      </c>
      <c r="AT15" s="49">
        <f>maprop(AT33,AO34,AJ15,AM35,AO35,8)</f>
        <v>0.008182328137567885</v>
      </c>
      <c r="AU15" s="49">
        <f>maprop(AU33,AO34,AJ15,AM35,AO35,8)</f>
        <v>0.009029488174792629</v>
      </c>
      <c r="AV15" s="50">
        <f>maprop(AV33,AO34,AJ15,AM35,AO35,8)</f>
        <v>0.009954227903184037</v>
      </c>
      <c r="AW15" s="48">
        <f>maprop(AW33,AO34,AJ15,AM35,AO35,8)</f>
        <v>0.01096282335631439</v>
      </c>
      <c r="AX15" s="49">
        <f>maprop(AX33,AO34,AJ15,AM35,AO35,8)</f>
        <v>0.012062016714238679</v>
      </c>
      <c r="AY15" s="49">
        <f>maprop(AY33,AO34,AJ15,AM35,AO35,8)</f>
        <v>0.013259053074836439</v>
      </c>
      <c r="AZ15" s="51">
        <f>maprop(AZ33,AO34,AJ15,AM35,AO35,8)</f>
        <v>0.01456172105637688</v>
      </c>
      <c r="BA15" s="52">
        <f>maprop(BA33,AO34,AJ15,AM35,AO35,8)</f>
        <v>0.015978397756332547</v>
      </c>
      <c r="BB15" s="49">
        <f>maprop(BB33,AO34,AJ15,AM35,AO35,8)</f>
        <v>0.01751809867286586</v>
      </c>
      <c r="BC15" s="49">
        <f>maprop(BC33,AO34,AJ15,AM35,AO35,8)</f>
        <v>0.01919053329074252</v>
      </c>
      <c r="BD15" s="50">
        <f>maprop(BD33,AO34,AJ15,AM35,AO35,8)</f>
        <v>0.021006167145395212</v>
      </c>
      <c r="BE15" s="53">
        <f>maprop(BE33,AO34,AJ15,AM35,AO35,8)</f>
        <v>0.022976291310828467</v>
      </c>
      <c r="BH15" s="1"/>
    </row>
    <row r="16" spans="1:60" ht="9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3"/>
      <c r="W16" s="3"/>
      <c r="X16" s="3"/>
      <c r="Y16" s="3"/>
      <c r="Z16" s="3"/>
      <c r="AA16" s="3"/>
      <c r="AB16" s="3"/>
      <c r="AC16" s="3"/>
      <c r="AJ16" s="16">
        <f>AJ32+(AJ12-AJ32)/20*16</f>
        <v>80</v>
      </c>
      <c r="AK16" s="36">
        <f>maprop(AK33,AO34,AJ16,AM35,AO35,8)</f>
        <v>0.0030162793408324085</v>
      </c>
      <c r="AL16" s="37">
        <f>maprop(AL33,AO34,AJ16,AM35,AO35,8)</f>
        <v>0.0033632621754583706</v>
      </c>
      <c r="AM16" s="37">
        <f>maprop(AM33,AO34,AJ16,AM35,AO35,8)</f>
        <v>0.003745399237815783</v>
      </c>
      <c r="AN16" s="38">
        <f>maprop(AN33,AO34,AJ16,AM35,AO35,8)</f>
        <v>0.004165774451042686</v>
      </c>
      <c r="AO16" s="36">
        <f>maprop(AO33,AO34,AJ16,AM35,AO35,8)</f>
        <v>0.004627703908916449</v>
      </c>
      <c r="AP16" s="37">
        <f>maprop(AP33,AO34,AJ16,AM35,AO35,8)</f>
        <v>0.005134751555572662</v>
      </c>
      <c r="AQ16" s="37">
        <f>maprop(AQ33,AO34,AJ16,AM35,AO35,8)</f>
        <v>0.0056907460467986145</v>
      </c>
      <c r="AR16" s="39">
        <f>maprop(AR33,AO34,AJ16,AM35,AO35,8)</f>
        <v>0.006299798925032628</v>
      </c>
      <c r="AS16" s="40">
        <f>maprop(AS33,AO34,AJ16,AM35,AO35,8)</f>
        <v>0.006966324259079915</v>
      </c>
      <c r="AT16" s="37">
        <f>maprop(AT33,AO34,AJ16,AM35,AO35,8)</f>
        <v>0.007695059921206865</v>
      </c>
      <c r="AU16" s="37">
        <f>maprop(AU33,AO34,AJ16,AM35,AO35,8)</f>
        <v>0.008491090699121673</v>
      </c>
      <c r="AV16" s="38">
        <f>maprop(AV33,AO34,AJ16,AM35,AO35,8)</f>
        <v>0.0093598734689177</v>
      </c>
      <c r="AW16" s="36">
        <f>maprop(AW33,AO34,AJ16,AM35,AO35,8)</f>
        <v>0.010307264687932449</v>
      </c>
      <c r="AX16" s="37">
        <f>maprop(AX33,AO34,AJ16,AM35,AO35,8)</f>
        <v>0.011339550504395949</v>
      </c>
      <c r="AY16" s="37">
        <f>maprop(AY33,AO34,AJ16,AM35,AO35,8)</f>
        <v>0.012463479824557757</v>
      </c>
      <c r="AZ16" s="39">
        <f>maprop(AZ33,AO34,AJ16,AM35,AO35,8)</f>
        <v>0.013686300728721668</v>
      </c>
      <c r="BA16" s="40">
        <f>maprop(BA33,AO34,AJ16,AM35,AO35,8)</f>
        <v>0.015015800686523572</v>
      </c>
      <c r="BB16" s="37">
        <f>maprop(BB33,AO34,AJ16,AM35,AO35,8)</f>
        <v>0.01646035109034857</v>
      </c>
      <c r="BC16" s="37">
        <f>maprop(BC33,AO34,AJ16,AM35,AO35,8)</f>
        <v>0.01802895670579532</v>
      </c>
      <c r="BD16" s="38">
        <f>maprop(BD33,AO34,AJ16,AM35,AO35,8)</f>
        <v>0.01973131073175443</v>
      </c>
      <c r="BE16" s="41">
        <f>maprop(BE33,AO34,AJ16,AM35,AO35,8)</f>
        <v>0.02157785627263758</v>
      </c>
      <c r="BH16" s="1"/>
    </row>
    <row r="17" spans="1:60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AC17" s="3"/>
      <c r="AJ17" s="16">
        <f>AJ32+(AJ12-AJ32)/20*15</f>
        <v>75</v>
      </c>
      <c r="AK17" s="42">
        <f>maprop(AK33,AO34,AJ17,AM35,AO35,8)</f>
        <v>0.002826905061728423</v>
      </c>
      <c r="AL17" s="43">
        <f>maprop(AL33,AO34,AJ17,AM35,AO35,8)</f>
        <v>0.003151993036070938</v>
      </c>
      <c r="AM17" s="43">
        <f>maprop(AM33,AO34,AJ17,AM35,AO35,8)</f>
        <v>0.003509990760392152</v>
      </c>
      <c r="AN17" s="44">
        <f>maprop(AN33,AO34,AJ17,AM35,AO35,8)</f>
        <v>0.003903779412645702</v>
      </c>
      <c r="AO17" s="42">
        <f>maprop(AO33,AO34,AJ17,AM35,AO35,8)</f>
        <v>0.004336455871732277</v>
      </c>
      <c r="AP17" s="43">
        <f>maprop(AP33,AO34,AJ17,AM35,AO35,8)</f>
        <v>0.004811347061463729</v>
      </c>
      <c r="AQ17" s="43">
        <f>maprop(AQ33,AO34,AJ17,AM35,AO35,8)</f>
        <v>0.005332025341989168</v>
      </c>
      <c r="AR17" s="45">
        <f>maprop(AR33,AO34,AJ17,AM35,AO35,8)</f>
        <v>0.005902325062846489</v>
      </c>
      <c r="AS17" s="46">
        <f>maprop(AS33,AO34,AJ17,AM35,AO35,8)</f>
        <v>0.0065263604079432245</v>
      </c>
      <c r="AT17" s="43">
        <f>maprop(AT33,AO34,AJ17,AM35,AO35,8)</f>
        <v>0.007208544681243627</v>
      </c>
      <c r="AU17" s="43">
        <f>maprop(AU33,AO34,AJ17,AM35,AO35,8)</f>
        <v>0.007953611203107773</v>
      </c>
      <c r="AV17" s="44">
        <f>maprop(AV33,AO34,AJ17,AM35,AO35,8)</f>
        <v>0.008766636011487836</v>
      </c>
      <c r="AW17" s="42">
        <f>maprop(AW33,AO34,AJ17,AM35,AO35,8)</f>
        <v>0.009653062590058081</v>
      </c>
      <c r="AX17" s="43">
        <f>maprop(AX33,AO34,AJ17,AM35,AO35,8)</f>
        <v>0.010618728877401428</v>
      </c>
      <c r="AY17" s="43">
        <f>maprop(AY33,AO34,AJ17,AM35,AO35,8)</f>
        <v>0.011669896848300004</v>
      </c>
      <c r="AZ17" s="45">
        <f>maprop(AZ33,AO34,AJ17,AM35,AO35,8)</f>
        <v>0.012813285000816146</v>
      </c>
      <c r="BA17" s="46">
        <f>maprop(BA33,AO34,AJ17,AM35,AO35,8)</f>
        <v>0.014056104132182431</v>
      </c>
      <c r="BB17" s="43">
        <f>maprop(BB33,AO34,AJ17,AM35,AO35,8)</f>
        <v>0.015406096843751639</v>
      </c>
      <c r="BC17" s="43">
        <f>maprop(BC33,AO34,AJ17,AM35,AO35,8)</f>
        <v>0.016871581281817916</v>
      </c>
      <c r="BD17" s="44">
        <f>maprop(BD33,AO34,AJ17,AM35,AO35,8)</f>
        <v>0.018461499698740808</v>
      </c>
      <c r="BE17" s="47">
        <f>maprop(BE33,AO34,AJ17,AM35,AO35,8)</f>
        <v>0.020185472509607064</v>
      </c>
      <c r="BH17" s="1"/>
    </row>
    <row r="18" spans="1:60" ht="9.75" customHeight="1">
      <c r="A18" s="6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E18" s="1"/>
      <c r="AJ18" s="16">
        <f>AJ32+(AJ12-AJ32)/20*14</f>
        <v>70</v>
      </c>
      <c r="AK18" s="48">
        <f>maprop(AK33,AO34,AJ18,AM35,AO35,8)</f>
        <v>0.002637645509807038</v>
      </c>
      <c r="AL18" s="49">
        <f>maprop(AL33,AO34,AJ18,AM35,AO35,8)</f>
        <v>0.00294086660204712</v>
      </c>
      <c r="AM18" s="49">
        <f>maprop(AM33,AO34,AJ18,AM35,AO35,8)</f>
        <v>0.00327475934701993</v>
      </c>
      <c r="AN18" s="50">
        <f>maprop(AN33,AO34,AJ18,AM35,AO35,8)</f>
        <v>0.003642003534776562</v>
      </c>
      <c r="AO18" s="48">
        <f>maprop(AO33,AO34,AJ18,AM35,AO35,8)</f>
        <v>0.004045478455743337</v>
      </c>
      <c r="AP18" s="49">
        <f>maprop(AP33,AO34,AJ18,AM35,AO35,8)</f>
        <v>0.004488275958844798</v>
      </c>
      <c r="AQ18" s="49">
        <f>maprop(AQ33,AO34,AJ18,AM35,AO35,8)</f>
        <v>0.0049737144317487615</v>
      </c>
      <c r="AR18" s="51">
        <f>maprop(AR33,AO34,AJ18,AM35,AO35,8)</f>
        <v>0.005505353800929532</v>
      </c>
      <c r="AS18" s="52">
        <f>maprop(AS33,AO34,AJ18,AM35,AO35,8)</f>
        <v>0.0060870116629103705</v>
      </c>
      <c r="AT18" s="49">
        <f>maprop(AT33,AO34,AJ18,AM35,AO35,8)</f>
        <v>0.006722780673662276</v>
      </c>
      <c r="AU18" s="49">
        <f>maprop(AU33,AO34,AJ18,AM35,AO35,8)</f>
        <v>0.007417047340987293</v>
      </c>
      <c r="AV18" s="50">
        <f>maprop(AV33,AO34,AJ18,AM35,AO35,8)</f>
        <v>0.008174512385129932</v>
      </c>
      <c r="AW18" s="48">
        <f>maprop(AW33,AO34,AJ18,AM35,AO35,8)</f>
        <v>0.009000212856245549</v>
      </c>
      <c r="AX18" s="49">
        <f>maprop(AX33,AO34,AJ18,AM35,AO35,8)</f>
        <v>0.009899546224180855</v>
      </c>
      <c r="AY18" s="49">
        <f>maprop(AY33,AO34,AJ18,AM35,AO35,8)</f>
        <v>0.010878296686834316</v>
      </c>
      <c r="AZ18" s="51">
        <f>maprop(AZ33,AO34,AJ18,AM35,AO35,8)</f>
        <v>0.011942663978836657</v>
      </c>
      <c r="BA18" s="52">
        <f>maprop(BA33,AO34,AJ18,AM35,AO35,8)</f>
        <v>0.013099295003199748</v>
      </c>
      <c r="BB18" s="49">
        <f>maprop(BB33,AO34,AJ18,AM35,AO35,8)</f>
        <v>0.014355318655875332</v>
      </c>
      <c r="BC18" s="49">
        <f>maprop(BC33,AO34,AJ18,AM35,AO35,8)</f>
        <v>0.015718384267972688</v>
      </c>
      <c r="BD18" s="50">
        <f>maprop(BD33,AO34,AJ18,AM35,AO35,8)</f>
        <v>0.01719670415405526</v>
      </c>
      <c r="BE18" s="53">
        <f>maprop(BE33,AO34,AJ18,AM35,AO35,8)</f>
        <v>0.018799100829130423</v>
      </c>
      <c r="BH18" s="1"/>
    </row>
    <row r="19" spans="1:60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E19" s="1"/>
      <c r="AJ19" s="16">
        <f>AJ32+(AJ12-AJ32)/20*13</f>
        <v>65</v>
      </c>
      <c r="AK19" s="48">
        <f>maprop(AK33,AO34,AJ19,AM35,AO35,8)</f>
        <v>0.0024485005808431073</v>
      </c>
      <c r="AL19" s="49">
        <f>maprop(AL33,AO34,AJ19,AM35,AO35,8)</f>
        <v>0.0027298827288465576</v>
      </c>
      <c r="AM19" s="49">
        <f>maprop(AM33,AO34,AJ19,AM35,AO35,8)</f>
        <v>0.003039704798004092</v>
      </c>
      <c r="AN19" s="50">
        <f>maprop(AN33,AO34,AJ19,AM35,AO35,8)</f>
        <v>0.003380446542556324</v>
      </c>
      <c r="AO19" s="48">
        <f>maprop(AO33,AO34,AJ19,AM35,AO35,8)</f>
        <v>0.003754771283941996</v>
      </c>
      <c r="AP19" s="49">
        <f>maprop(AP33,AO34,AJ19,AM35,AO35,8)</f>
        <v>0.00416553773245112</v>
      </c>
      <c r="AQ19" s="49">
        <f>maprop(AQ33,AO34,AJ19,AM35,AO35,8)</f>
        <v>0.0046158126142680726</v>
      </c>
      <c r="AR19" s="51">
        <f>maprop(AR33,AO34,AJ19,AM35,AO35,8)</f>
        <v>0.005108884186587463</v>
      </c>
      <c r="AS19" s="52">
        <f>maprop(AS33,AO34,AJ19,AM35,AO35,8)</f>
        <v>0.005648276734928385</v>
      </c>
      <c r="AT19" s="49">
        <f>maprop(AT33,AO34,AJ19,AM35,AO35,8)</f>
        <v>0.00623776615982825</v>
      </c>
      <c r="AU19" s="49">
        <f>maprop(AU33,AO34,AJ19,AM35,AO35,8)</f>
        <v>0.006881396774981727</v>
      </c>
      <c r="AV19" s="50">
        <f>maprop(AV33,AO34,AJ19,AM35,AO35,8)</f>
        <v>0.007583499455881033</v>
      </c>
      <c r="AW19" s="48">
        <f>maprop(AW33,AO34,AJ19,AM35,AO35,8)</f>
        <v>0.008348711297421854</v>
      </c>
      <c r="AX19" s="49">
        <f>maprop(AX33,AO34,AJ19,AM35,AO35,8)</f>
        <v>0.009181996961137806</v>
      </c>
      <c r="AY19" s="49">
        <f>maprop(AY33,AO34,AJ19,AM35,AO35,8)</f>
        <v>0.010088671918159566</v>
      </c>
      <c r="AZ19" s="51">
        <f>maprop(AZ33,AO34,AJ19,AM35,AO35,8)</f>
        <v>0.01107442782316284</v>
      </c>
      <c r="BA19" s="52">
        <f>maprop(BA33,AO34,AJ19,AM35,AO35,8)</f>
        <v>0.012145360288115869</v>
      </c>
      <c r="BB19" s="49">
        <f>maprop(BB33,AO34,AJ19,AM35,AO35,8)</f>
        <v>0.013307999363264232</v>
      </c>
      <c r="BC19" s="49">
        <f>maprop(BC33,AO34,AJ19,AM35,AO35,8)</f>
        <v>0.014569343077398244</v>
      </c>
      <c r="BD19" s="50">
        <f>maprop(BD33,AO34,AJ19,AM35,AO35,8)</f>
        <v>0.015936894441069573</v>
      </c>
      <c r="BE19" s="53">
        <f>maprop(BE33,AO34,AJ19,AM35,AO35,8)</f>
        <v>0.017418702376326835</v>
      </c>
      <c r="BH19" s="1"/>
    </row>
    <row r="20" spans="1:60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E20" s="1"/>
      <c r="AJ20" s="16">
        <f>AJ32+(AJ12-AJ32)/20*12</f>
        <v>60</v>
      </c>
      <c r="AK20" s="54">
        <f>maprop(AK33,AO34,AJ20,AM35,AO35,8)</f>
        <v>0.00225947017073823</v>
      </c>
      <c r="AL20" s="55">
        <f>maprop(AL33,AO34,AJ20,AM35,AO35,8)</f>
        <v>0.0025190412721240196</v>
      </c>
      <c r="AM20" s="55">
        <f>maprop(AM33,AO34,AJ20,AM35,AO35,8)</f>
        <v>0.0028048269139503332</v>
      </c>
      <c r="AN20" s="56">
        <f>maprop(AN33,AO34,AJ20,AM35,AO35,8)</f>
        <v>0.003119108161565941</v>
      </c>
      <c r="AO20" s="54">
        <f>maprop(AO33,AO34,AJ20,AM35,AO35,8)</f>
        <v>0.0034643339800207165</v>
      </c>
      <c r="AP20" s="55">
        <f>maprop(AP33,AO34,AJ20,AM35,AO35,8)</f>
        <v>0.0038431318680792054</v>
      </c>
      <c r="AQ20" s="55">
        <f>maprop(AQ33,AO34,AJ20,AM35,AO35,8)</f>
        <v>0.0042583191893392726</v>
      </c>
      <c r="AR20" s="57">
        <f>maprop(AR33,AO34,AJ20,AM35,AO35,8)</f>
        <v>0.0047129152695318775</v>
      </c>
      <c r="AS20" s="58">
        <f>maprop(AS33,AO34,AJ20,AM35,AO35,8)</f>
        <v>0.005210154338543275</v>
      </c>
      <c r="AT20" s="55">
        <f>maprop(AT33,AO34,AJ20,AM35,AO35,8)</f>
        <v>0.005753499406468401</v>
      </c>
      <c r="AU20" s="55">
        <f>maprop(AU33,AO34,AJ20,AM35,AO35,8)</f>
        <v>0.006346657175264573</v>
      </c>
      <c r="AV20" s="56">
        <f>maprop(AV33,AO34,AJ20,AM35,AO35,8)</f>
        <v>0.006993594101524868</v>
      </c>
      <c r="AW20" s="54">
        <f>maprop(AW33,AO34,AJ20,AM35,AO35,8)</f>
        <v>0.0076985537417975335</v>
      </c>
      <c r="AX20" s="55">
        <f>maprop(AX33,AO34,AJ20,AM35,AO35,8)</f>
        <v>0.008466075530010287</v>
      </c>
      <c r="AY20" s="55">
        <f>maprop(AY33,AO34,AJ20,AM35,AO35,8)</f>
        <v>0.009301015157271242</v>
      </c>
      <c r="AZ20" s="57">
        <f>maprop(AZ33,AO34,AJ20,AM35,AO35,8)</f>
        <v>0.010208566748007363</v>
      </c>
      <c r="BA20" s="58">
        <f>maprop(BA33,AO34,AJ20,AM35,AO35,8)</f>
        <v>0.011194287053531213</v>
      </c>
      <c r="BB20" s="55">
        <f>maprop(BB33,AO34,AJ20,AM35,AO35,8)</f>
        <v>0.012264121915272885</v>
      </c>
      <c r="BC20" s="55">
        <f>maprop(BC33,AO34,AJ20,AM35,AO35,8)</f>
        <v>0.013424435285734802</v>
      </c>
      <c r="BD20" s="56">
        <f>maprop(BD33,AO34,AJ20,AM35,AO35,8)</f>
        <v>0.014682041136508818</v>
      </c>
      <c r="BE20" s="59">
        <f>maprop(BE33,AO34,AJ20,AM35,AO35,8)</f>
        <v>0.01604423863041035</v>
      </c>
      <c r="BH20" s="1"/>
    </row>
    <row r="21" spans="1:60" ht="9.75" customHeight="1">
      <c r="A21" s="6"/>
      <c r="B21" s="6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E21" s="1"/>
      <c r="AJ21" s="16">
        <f>AJ32+(AJ12-AJ32)/20*11</f>
        <v>55</v>
      </c>
      <c r="AK21" s="60">
        <f>maprop(AK33,AO34,AJ21,AM35,AO35,8)</f>
        <v>0.0020705541755194844</v>
      </c>
      <c r="AL21" s="61">
        <f>maprop(AL33,AO34,AJ21,AM35,AO35,8)</f>
        <v>0.0023083420877290815</v>
      </c>
      <c r="AM21" s="61">
        <f>maprop(AM33,AO34,AJ21,AM35,AO35,8)</f>
        <v>0.00257012549576342</v>
      </c>
      <c r="AN21" s="62">
        <f>maprop(AN33,AO34,AJ21,AM35,AO35,8)</f>
        <v>0.0028579881178443555</v>
      </c>
      <c r="AO21" s="60">
        <f>maprop(AO33,AO34,AJ21,AM35,AO35,8)</f>
        <v>0.003174166168369896</v>
      </c>
      <c r="AP21" s="61">
        <f>maprop(AP33,AO34,AJ21,AM35,AO35,8)</f>
        <v>0.003521057852584088</v>
      </c>
      <c r="AQ21" s="61">
        <f>maprop(AQ33,AO34,AJ21,AM35,AO35,8)</f>
        <v>0.003901233458351601</v>
      </c>
      <c r="AR21" s="63">
        <f>maprop(AR33,AO34,AJ21,AM35,AO35,8)</f>
        <v>0.004317446101873618</v>
      </c>
      <c r="AS21" s="64">
        <f>maprop(AS33,AO34,AJ21,AM35,AO35,8)</f>
        <v>0.004772643191887997</v>
      </c>
      <c r="AT21" s="61">
        <f>maprop(AT33,AO34,AJ21,AM35,AO35,8)</f>
        <v>0.005269978685649932</v>
      </c>
      <c r="AU21" s="61">
        <f>maprop(AU33,AO34,AJ21,AM35,AO35,8)</f>
        <v>0.005812826219927003</v>
      </c>
      <c r="AV21" s="62">
        <f>maprop(AV33,AO34,AJ21,AM35,AO35,8)</f>
        <v>0.006404793211535905</v>
      </c>
      <c r="AW21" s="60">
        <f>maprop(AW33,AO34,AJ21,AM35,AO35,8)</f>
        <v>0.007049736034778035</v>
      </c>
      <c r="AX21" s="61">
        <f>maprop(AX33,AO34,AJ21,AM35,AO35,8)</f>
        <v>0.007751776397726128</v>
      </c>
      <c r="AY21" s="61">
        <f>maprop(AY33,AO34,AJ21,AM35,AO35,8)</f>
        <v>0.008515319055930656</v>
      </c>
      <c r="AZ21" s="63">
        <f>maprop(AZ33,AO34,AJ21,AM35,AO35,8)</f>
        <v>0.00934507102104869</v>
      </c>
      <c r="BA21" s="64">
        <f>maprop(BA33,AO34,AJ21,AM35,AO35,8)</f>
        <v>0.01024606244352121</v>
      </c>
      <c r="BB21" s="61">
        <f>maprop(BB33,AO34,AJ21,AM35,AO35,8)</f>
        <v>0.011223669373139915</v>
      </c>
      <c r="BC21" s="61">
        <f>maprop(BC33,AO34,AJ21,AM35,AO35,8)</f>
        <v>0.01228363862966538</v>
      </c>
      <c r="BD21" s="62">
        <f>maprop(BD33,AO34,AJ21,AM35,AO35,8)</f>
        <v>0.013432115048160961</v>
      </c>
      <c r="BE21" s="65">
        <f>maprop(BE33,AO34,AJ21,AM35,AO35,8)</f>
        <v>0.01467567140110728</v>
      </c>
      <c r="BH21" s="1"/>
    </row>
    <row r="22" spans="1:60" ht="9.75" customHeight="1">
      <c r="A22" s="6"/>
      <c r="B22" s="6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E22" s="1"/>
      <c r="AJ22" s="16">
        <f>AJ32+(AJ12-AJ32)/20*10</f>
        <v>50</v>
      </c>
      <c r="AK22" s="48">
        <f>maprop(AK33,AO34,AJ22,AM35,AO35,8)</f>
        <v>0.0018817524913401769</v>
      </c>
      <c r="AL22" s="49">
        <f>maprop(AL33,AO34,AJ22,AM35,AO35,8)</f>
        <v>0.002097785031705926</v>
      </c>
      <c r="AM22" s="49">
        <f>maprop(AM33,AO34,AJ22,AM35,AO35,8)</f>
        <v>0.0023356003446475763</v>
      </c>
      <c r="AN22" s="50">
        <f>maprop(AN33,AO34,AJ22,AM35,AO35,8)</f>
        <v>0.0025970861378886265</v>
      </c>
      <c r="AO22" s="48">
        <f>maprop(AO33,AO34,AJ22,AM35,AO35,8)</f>
        <v>0.002884267474077059</v>
      </c>
      <c r="AP22" s="49">
        <f>maprop(AP33,AO34,AJ22,AM35,AO35,8)</f>
        <v>0.0031993151738766118</v>
      </c>
      <c r="AQ22" s="49">
        <f>maprop(AQ33,AO34,AJ22,AM35,AO35,8)</f>
        <v>0.003544554724286814</v>
      </c>
      <c r="AR22" s="51">
        <f>maprop(AR33,AO34,AJ22,AM35,AO35,8)</f>
        <v>0.003922475738114124</v>
      </c>
      <c r="AS22" s="52">
        <f>maprop(AS33,AO34,AJ22,AM35,AO35,8)</f>
        <v>0.0043357420166698305</v>
      </c>
      <c r="AT22" s="49">
        <f>maprop(AT33,AO34,AJ22,AM35,AO35,8)</f>
        <v>0.004787202274759445</v>
      </c>
      <c r="AU22" s="49">
        <f>maprop(AU33,AO34,AJ22,AM35,AO35,8)</f>
        <v>0.005279901594944396</v>
      </c>
      <c r="AV22" s="50">
        <f>maprop(AV33,AO34,AJ22,AM35,AO35,8)</f>
        <v>0.005817093687025776</v>
      </c>
      <c r="AW22" s="48">
        <f>maprop(AW33,AO34,AJ22,AM35,AO35,8)</f>
        <v>0.0064022540388742576</v>
      </c>
      <c r="AX22" s="49">
        <f>maprop(AX33,AO34,AJ22,AM35,AO35,8)</f>
        <v>0.007039094056261395</v>
      </c>
      <c r="AY22" s="49">
        <f>maprop(AY33,AO34,AJ22,AM35,AO35,8)</f>
        <v>0.007731576302436564</v>
      </c>
      <c r="AZ22" s="51">
        <f>maprop(AZ33,AO34,AJ22,AM35,AO35,8)</f>
        <v>0.008483930963065458</v>
      </c>
      <c r="BA22" s="52">
        <f>maprop(BA33,AO34,AJ22,AM35,AO35,8)</f>
        <v>0.009300673679057852</v>
      </c>
      <c r="BB22" s="49">
        <f>maprop(BB33,AO34,AJ22,AM35,AO35,8)</f>
        <v>0.010186624909072661</v>
      </c>
      <c r="BC22" s="49">
        <f>maprop(BC33,AO34,AJ22,AM35,AO35,8)</f>
        <v>0.011146931005472706</v>
      </c>
      <c r="BD22" s="50">
        <f>maprop(BD33,AO34,AJ22,AM35,AO35,8)</f>
        <v>0.012187087212612819</v>
      </c>
      <c r="BE22" s="53">
        <f>maprop(BE33,AO34,AJ22,AM35,AO35,8)</f>
        <v>0.013312962825118846</v>
      </c>
      <c r="BH22" s="1"/>
    </row>
    <row r="23" spans="1:60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E23" s="1"/>
      <c r="AJ23" s="16">
        <f>AJ32+(AJ12-AJ32)/20*9</f>
        <v>45</v>
      </c>
      <c r="AK23" s="48">
        <f>maprop(AK33,AO34,AJ23,AM35,AO35,8)</f>
        <v>0.0016930650144792489</v>
      </c>
      <c r="AL23" s="49">
        <f>maprop(AL33,AO34,AJ23,AM35,AO35,8)</f>
        <v>0.001887369960292482</v>
      </c>
      <c r="AM23" s="49">
        <f>maprop(AM33,AO34,AJ23,AM35,AO35,8)</f>
        <v>0.002101251262105516</v>
      </c>
      <c r="AN23" s="50">
        <f>maprop(AN33,AO34,AJ23,AM35,AO35,8)</f>
        <v>0.0023364019486520264</v>
      </c>
      <c r="AO23" s="48">
        <f>maprop(AO33,AO34,AJ23,AM35,AO35,8)</f>
        <v>0.002594637522924702</v>
      </c>
      <c r="AP23" s="49">
        <f>maprop(AP33,AO34,AJ23,AM35,AO35,8)</f>
        <v>0.0028779033209205764</v>
      </c>
      <c r="AQ23" s="49">
        <f>maprop(AQ33,AO34,AJ23,AM35,AO35,8)</f>
        <v>0.0031882822917146474</v>
      </c>
      <c r="AR23" s="51">
        <f>maprop(AR33,AO34,AJ23,AM35,AO35,8)</f>
        <v>0.003528003235138847</v>
      </c>
      <c r="AS23" s="52">
        <f>maprop(AS33,AO34,AJ23,AM35,AO35,8)</f>
        <v>0.0038994495381577876</v>
      </c>
      <c r="AT23" s="49">
        <f>maprop(AT33,AO34,AJ23,AM35,AO35,8)</f>
        <v>0.004305168456483298</v>
      </c>
      <c r="AU23" s="49">
        <f>maprop(AU33,AO34,AJ23,AM35,AO35,8)</f>
        <v>0.004747880994142899</v>
      </c>
      <c r="AV23" s="50">
        <f>maprop(AV33,AO34,AJ23,AM35,AO35,8)</f>
        <v>0.005230492440687954</v>
      </c>
      <c r="AW23" s="48">
        <f>maprop(AW33,AO34,AJ23,AM35,AO35,8)</f>
        <v>0.005756103633615705</v>
      </c>
      <c r="AX23" s="49">
        <f>maprop(AX33,AO34,AJ23,AM35,AO35,8)</f>
        <v>0.006328023022498402</v>
      </c>
      <c r="AY23" s="49">
        <f>maprop(AY33,AO34,AJ23,AM35,AO35,8)</f>
        <v>0.00694977962139837</v>
      </c>
      <c r="AZ23" s="51">
        <f>maprop(AZ33,AO34,AJ23,AM35,AO35,8)</f>
        <v>0.007625136947575936</v>
      </c>
      <c r="BA23" s="52">
        <f>maprop(BA33,AO34,AJ23,AM35,AO35,8)</f>
        <v>0.008358108057435101</v>
      </c>
      <c r="BB23" s="49">
        <f>maprop(BB33,AO34,AJ23,AM35,AO35,8)</f>
        <v>0.009152971805339381</v>
      </c>
      <c r="BC23" s="49">
        <f>maprop(BC33,AO34,AJ23,AM35,AO35,8)</f>
        <v>0.010014290467611648</v>
      </c>
      <c r="BD23" s="50">
        <f>maprop(BD33,AO34,AJ23,AM35,AO35,8)</f>
        <v>0.01094692889301262</v>
      </c>
      <c r="BE23" s="53">
        <f>maprop(BE33,AO34,AJ23,AM35,AO35,8)</f>
        <v>0.011956075362629177</v>
      </c>
      <c r="BH23" s="1"/>
    </row>
    <row r="24" spans="1:60" ht="9.75" customHeight="1">
      <c r="A24" s="6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E24" s="1"/>
      <c r="AJ24" s="16">
        <f>AJ32+(AJ12-AJ32)/20*8</f>
        <v>40</v>
      </c>
      <c r="AK24" s="36">
        <f>maprop(AK33,AO34,AJ24,AM35,AO35,8)</f>
        <v>0.001504491641340684</v>
      </c>
      <c r="AL24" s="37">
        <f>maprop(AL33,AO34,AJ24,AM35,AO35,8)</f>
        <v>0.0016770967299209</v>
      </c>
      <c r="AM24" s="37">
        <f>maprop(AM33,AO34,AJ24,AM35,AO35,8)</f>
        <v>0.0018670780499374783</v>
      </c>
      <c r="AN24" s="38">
        <f>maprop(AN33,AO34,AJ24,AM35,AO35,8)</f>
        <v>0.0020759352775434957</v>
      </c>
      <c r="AO24" s="36">
        <f>maprop(AO33,AO34,AJ24,AM35,AO35,8)</f>
        <v>0.002305275941388816</v>
      </c>
      <c r="AP24" s="37">
        <f>maprop(AP33,AO34,AJ24,AM35,AO35,8)</f>
        <v>0.002556821783730571</v>
      </c>
      <c r="AQ24" s="37">
        <f>maprop(AQ33,AO34,AJ24,AM35,AO35,8)</f>
        <v>0.0028324154667883007</v>
      </c>
      <c r="AR24" s="39">
        <f>maprop(AR33,AO34,AJ24,AM35,AO35,8)</f>
        <v>0.003134027652209332</v>
      </c>
      <c r="AS24" s="40">
        <f>maprop(AS33,AO34,AJ24,AM35,AO35,8)</f>
        <v>0.0034637644851707628</v>
      </c>
      <c r="AT24" s="37">
        <f>maprop(AT33,AO34,AJ24,AM35,AO35,8)</f>
        <v>0.0038238755187868295</v>
      </c>
      <c r="AU24" s="37">
        <f>maprop(AU33,AO34,AJ24,AM35,AO35,8)</f>
        <v>0.0042167621191661646</v>
      </c>
      <c r="AV24" s="38">
        <f>maprop(AV33,AO34,AJ24,AM35,AO35,8)</f>
        <v>0.004644986396744104</v>
      </c>
      <c r="AW24" s="36">
        <f>maprop(AW33,AO34,AJ24,AM35,AO35,8)</f>
        <v>0.005111280715462112</v>
      </c>
      <c r="AX24" s="37">
        <f>maprop(AX33,AO34,AJ24,AM35,AO35,8)</f>
        <v>0.005618557838084682</v>
      </c>
      <c r="AY24" s="37">
        <f>maprop(AY33,AO34,AJ24,AM35,AO35,8)</f>
        <v>0.00616992177351099</v>
      </c>
      <c r="AZ24" s="39">
        <f>maprop(AZ33,AO34,AJ24,AM35,AO35,8)</f>
        <v>0.006768679400478337</v>
      </c>
      <c r="BA24" s="40">
        <f>maprop(BA33,AO34,AJ24,AM35,AO35,8)</f>
        <v>0.007418352951700047</v>
      </c>
      <c r="BB24" s="37">
        <f>maprop(BB33,AO34,AJ24,AM35,AO35,8)</f>
        <v>0.008122693453371068</v>
      </c>
      <c r="BC24" s="37">
        <f>maprop(BC33,AO34,AJ24,AM35,AO35,8)</f>
        <v>0.008885695227296864</v>
      </c>
      <c r="BD24" s="38">
        <f>maprop(BD33,AO34,AJ24,AM35,AO35,8)</f>
        <v>0.009711611576859305</v>
      </c>
      <c r="BE24" s="41">
        <f>maprop(BE33,AO34,AJ24,AM35,AO35,8)</f>
        <v>0.010604971793858647</v>
      </c>
      <c r="BH24" s="1"/>
    </row>
    <row r="25" spans="1:60" ht="9.75" customHeight="1">
      <c r="A25" s="6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E25" s="1"/>
      <c r="AJ25" s="16">
        <f>AJ32+(AJ12-AJ32)/20*7</f>
        <v>35</v>
      </c>
      <c r="AK25" s="42">
        <f>maprop(AK33,AO34,AJ25,AM35,AO35,8)</f>
        <v>0.0013160322684542592</v>
      </c>
      <c r="AL25" s="43">
        <f>maprop(AL33,AO34,AJ25,AM35,AO35,8)</f>
        <v>0.0014669651972166902</v>
      </c>
      <c r="AM25" s="43">
        <f>maprop(AM33,AO34,AJ25,AM35,AO35,8)</f>
        <v>0.0016330805102416131</v>
      </c>
      <c r="AN25" s="44">
        <f>maprop(AN33,AO34,AJ25,AM35,AO35,8)</f>
        <v>0.0018156858524270949</v>
      </c>
      <c r="AO25" s="42">
        <f>maprop(AO33,AO34,AJ25,AM35,AO35,8)</f>
        <v>0.002016182356637418</v>
      </c>
      <c r="AP25" s="43">
        <f>maprop(AP33,AO34,AJ25,AM35,AO35,8)</f>
        <v>0.0022360700533684704</v>
      </c>
      <c r="AQ25" s="43">
        <f>maprop(AQ33,AO34,AJ25,AM35,AO35,8)</f>
        <v>0.0024769535572399287</v>
      </c>
      <c r="AR25" s="45">
        <f>maprop(AR33,AO34,AJ25,AM35,AO35,8)</f>
        <v>0.00274054805095534</v>
      </c>
      <c r="AS25" s="46">
        <f>maprop(AS33,AO34,AJ25,AM35,AO35,8)</f>
        <v>0.003028685590064366</v>
      </c>
      <c r="AT25" s="43">
        <f>maprop(AT33,AO34,AJ25,AM35,AO35,8)</f>
        <v>0.003343321754893687</v>
      </c>
      <c r="AU25" s="43">
        <f>maprop(AU33,AO34,AJ25,AM35,AO35,8)</f>
        <v>0.00368654267944225</v>
      </c>
      <c r="AV25" s="44">
        <f>maprop(AV33,AO34,AJ25,AM35,AO35,8)</f>
        <v>0.004060572490890728</v>
      </c>
      <c r="AW25" s="42">
        <f>maprop(AW33,AO34,AJ25,AM35,AO35,8)</f>
        <v>0.004467781197716994</v>
      </c>
      <c r="AX25" s="43">
        <f>maprop(AX33,AO34,AJ25,AM35,AO35,8)</f>
        <v>0.004910693069294278</v>
      </c>
      <c r="AY25" s="43">
        <f>maprop(AY33,AO34,AJ25,AM35,AO35,8)</f>
        <v>0.005391995555331404</v>
      </c>
      <c r="AZ25" s="45">
        <f>maprop(AZ33,AO34,AJ25,AM35,AO35,8)</f>
        <v>0.005914548799695452</v>
      </c>
      <c r="BA25" s="46">
        <f>maprop(BA33,AO34,AJ25,AM35,AO35,8)</f>
        <v>0.0064813958100892214</v>
      </c>
      <c r="BB25" s="43">
        <f>maprop(BB33,AO34,AJ25,AM35,AO35,8)</f>
        <v>0.007095773352871873</v>
      </c>
      <c r="BC25" s="43">
        <f>maprop(BC33,AO34,AJ25,AM35,AO35,8)</f>
        <v>0.007761123651105648</v>
      </c>
      <c r="BD25" s="44">
        <f>maprop(BD33,AO34,AJ25,AM35,AO35,8)</f>
        <v>0.008481106973817654</v>
      </c>
      <c r="BE25" s="47">
        <f>maprop(BE33,AO34,AJ25,AM35,AO35,8)</f>
        <v>0.009259615215659824</v>
      </c>
      <c r="BH25" s="1"/>
    </row>
    <row r="26" spans="1:60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E26" s="1"/>
      <c r="AJ26" s="16">
        <f>AJ32+(AJ12-AJ32)/20*6</f>
        <v>30</v>
      </c>
      <c r="AK26" s="48">
        <f>maprop(AK33,AO34,AJ26,AM35,AO35,8)</f>
        <v>0.0011276867924742801</v>
      </c>
      <c r="AL26" s="49">
        <f>maprop(AL33,AO34,AJ26,AM35,AO35,8)</f>
        <v>0.00125697521899853</v>
      </c>
      <c r="AM26" s="49">
        <f>maprop(AM33,AO34,AJ26,AM35,AO35,8)</f>
        <v>0.0013992584454123453</v>
      </c>
      <c r="AN26" s="50">
        <f>maprop(AN33,AO34,AJ26,AM35,AO35,8)</f>
        <v>0.0015556534016201156</v>
      </c>
      <c r="AO26" s="48">
        <f>maprop(AO33,AO34,AJ26,AM35,AO35,8)</f>
        <v>0.0017273563965284084</v>
      </c>
      <c r="AP26" s="49">
        <f>maprop(AP33,AO34,AJ26,AM35,AO35,8)</f>
        <v>0.0019156476219412836</v>
      </c>
      <c r="AQ26" s="49">
        <f>maprop(AQ33,AO34,AJ26,AM35,AO35,8)</f>
        <v>0.0021218958723761548</v>
      </c>
      <c r="AR26" s="51">
        <f>maprop(AR33,AO34,AJ26,AM35,AO35,8)</f>
        <v>0.0023475634953683436</v>
      </c>
      <c r="AS26" s="52">
        <f>maprop(AS33,AO34,AJ26,AM35,AO35,8)</f>
        <v>0.002594211588719044</v>
      </c>
      <c r="AT26" s="49">
        <f>maprop(AT33,AO34,AJ26,AM35,AO35,8)</f>
        <v>0.002863505463266466</v>
      </c>
      <c r="AU26" s="49">
        <f>maprop(AU33,AO34,AJ26,AM35,AO35,8)</f>
        <v>0.003157220392150691</v>
      </c>
      <c r="AV26" s="50">
        <f>maprop(AV33,AO34,AJ26,AM35,AO35,8)</f>
        <v>0.0034772476702447613</v>
      </c>
      <c r="AW26" s="48">
        <f>maprop(AW33,AO34,AJ26,AM35,AO35,8)</f>
        <v>0.0038256010104417166</v>
      </c>
      <c r="AX26" s="49">
        <f>maprop(AX33,AO34,AJ26,AM35,AO35,8)</f>
        <v>0.004204423306887932</v>
      </c>
      <c r="AY26" s="49">
        <f>maprop(AY33,AO34,AJ26,AM35,AO35,8)</f>
        <v>0.004615993799056872</v>
      </c>
      <c r="AZ26" s="51">
        <f>maprop(AZ33,AO34,AJ26,AM35,AO35,8)</f>
        <v>0.005062735674822172</v>
      </c>
      <c r="BA26" s="52">
        <f>maprop(BA33,AO34,AJ26,AM35,AO35,8)</f>
        <v>0.005547224155469211</v>
      </c>
      <c r="BB26" s="49">
        <f>maprop(BB33,AO34,AJ26,AM35,AO35,8)</f>
        <v>0.0060721951109382515</v>
      </c>
      <c r="BC26" s="49">
        <f>maprop(BC33,AO34,AJ26,AM35,AO35,8)</f>
        <v>0.006640554259595743</v>
      </c>
      <c r="BD26" s="50">
        <f>maprop(BD33,AO34,AJ26,AM35,AO35,8)</f>
        <v>0.007255387013558367</v>
      </c>
      <c r="BE26" s="53">
        <f>maprop(BE33,AO34,AJ26,AM35,AO35,8)</f>
        <v>0.007919969038158</v>
      </c>
      <c r="BH26" s="1"/>
    </row>
    <row r="27" spans="1:60" ht="9.75" customHeight="1">
      <c r="A27" s="6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E27" s="1"/>
      <c r="AJ27" s="16">
        <f>AJ32+(AJ12-AJ32)/20*5</f>
        <v>25</v>
      </c>
      <c r="AK27" s="48">
        <f>maprop(AK33,AO34,AJ27,AM35,AO35,8)</f>
        <v>0.0009394551101804675</v>
      </c>
      <c r="AL27" s="49">
        <f>maprop(AL33,AO34,AJ27,AM35,AO35,8)</f>
        <v>0.0010471266522779398</v>
      </c>
      <c r="AM27" s="49">
        <f>maprop(AM33,AO34,AJ27,AM35,AO35,8)</f>
        <v>0.0011656116581408953</v>
      </c>
      <c r="AN27" s="50">
        <f>maprop(AN33,AO34,AJ27,AM35,AO35,8)</f>
        <v>0.0012958376538932106</v>
      </c>
      <c r="AO27" s="48">
        <f>maprop(AO33,AO34,AJ27,AM35,AO35,8)</f>
        <v>0.0014387976896087858</v>
      </c>
      <c r="AP27" s="49">
        <f>maprop(AP33,AO34,AJ27,AM35,AO35,8)</f>
        <v>0.0015955539825983386</v>
      </c>
      <c r="AQ27" s="49">
        <f>maprop(AQ33,AO34,AJ27,AM35,AO35,8)</f>
        <v>0.0017672417230735987</v>
      </c>
      <c r="AR27" s="51">
        <f>maprop(AR33,AO34,AJ27,AM35,AO35,8)</f>
        <v>0.0019550730517930203</v>
      </c>
      <c r="AS27" s="52">
        <f>maprop(AS33,AO34,AJ27,AM35,AO35,8)</f>
        <v>0.0021603412205282355</v>
      </c>
      <c r="AT27" s="49">
        <f>maprop(AT33,AO34,AJ27,AM35,AO35,8)</f>
        <v>0.002384424947586218</v>
      </c>
      <c r="AU27" s="49">
        <f>maprop(AU33,AO34,AJ27,AM35,AO35,8)</f>
        <v>0.0026287929821898755</v>
      </c>
      <c r="AV27" s="50">
        <f>maprop(AV33,AO34,AJ27,AM35,AO35,8)</f>
        <v>0.002895008893291493</v>
      </c>
      <c r="AW27" s="48">
        <f>maprop(AW33,AO34,AJ27,AM35,AO35,8)</f>
        <v>0.003184736100368874</v>
      </c>
      <c r="AX27" s="49">
        <f>maprop(AX33,AO34,AJ27,AM35,AO35,8)</f>
        <v>0.003499743165976387</v>
      </c>
      <c r="AY27" s="49">
        <f>maprop(AY33,AO34,AJ27,AM35,AO35,8)</f>
        <v>0.0038419093723049092</v>
      </c>
      <c r="AZ27" s="51">
        <f>maprop(AZ33,AO34,AJ27,AM35,AO35,8)</f>
        <v>0.0042132306067746384</v>
      </c>
      <c r="BA27" s="52">
        <f>maprop(BA33,AO34,AJ27,AM35,AO35,8)</f>
        <v>0.004615825584783629</v>
      </c>
      <c r="BB27" s="49">
        <f>maprop(BB33,AO34,AJ27,AM35,AO35,8)</f>
        <v>0.005051942441186675</v>
      </c>
      <c r="BC27" s="49">
        <f>maprop(BC33,AO34,AJ27,AM35,AO35,8)</f>
        <v>0.005523965725937284</v>
      </c>
      <c r="BD27" s="50">
        <f>maprop(BD33,AO34,AJ27,AM35,AO35,8)</f>
        <v>0.006034423843623295</v>
      </c>
      <c r="BE27" s="53">
        <f>maprop(BE33,AO34,AJ27,AM35,AO35,8)</f>
        <v>0.006585996981434403</v>
      </c>
      <c r="BH27" s="1"/>
    </row>
    <row r="28" spans="1:60" ht="9.75" customHeight="1">
      <c r="A28" s="6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E28" s="1"/>
      <c r="AJ28" s="16">
        <f>AJ32+(AJ12-AJ32)/20*4</f>
        <v>20</v>
      </c>
      <c r="AK28" s="54">
        <f>maprop(AK33,AO34,AJ28,AM35,AO35,8)</f>
        <v>0.0007513371184766938</v>
      </c>
      <c r="AL28" s="55">
        <f>maprop(AL33,AO34,AJ28,AM35,AO35,8)</f>
        <v>0.0008374193542589571</v>
      </c>
      <c r="AM28" s="55">
        <f>maprop(AM33,AO34,AJ28,AM35,AO35,8)</f>
        <v>0.0009321399514136482</v>
      </c>
      <c r="AN28" s="56">
        <f>maprop(AN33,AO34,AJ28,AM35,AO35,8)</f>
        <v>0.001036238338468511</v>
      </c>
      <c r="AO28" s="54">
        <f>maprop(AO33,AO34,AJ28,AM35,AO35,8)</f>
        <v>0.0011505058651125131</v>
      </c>
      <c r="AP28" s="55">
        <f>maprop(AP33,AO34,AJ28,AM35,AO35,8)</f>
        <v>0.0012757886295286095</v>
      </c>
      <c r="AQ28" s="55">
        <f>maprop(AQ33,AO34,AJ28,AM35,AO35,8)</f>
        <v>0.001412990421774548</v>
      </c>
      <c r="AR28" s="57">
        <f>maprop(AR33,AO34,AJ28,AM35,AO35,8)</f>
        <v>0.001563075788920807</v>
      </c>
      <c r="AS28" s="58">
        <f>maprop(AS33,AO34,AJ28,AM35,AO35,8)</f>
        <v>0.001727073228385373</v>
      </c>
      <c r="AT28" s="55">
        <f>maprop(AT33,AO34,AJ28,AM35,AO35,8)</f>
        <v>0.001906078516732056</v>
      </c>
      <c r="AU28" s="55">
        <f>maprop(AU33,AO34,AJ28,AM35,AO35,8)</f>
        <v>0.0021012581821439075</v>
      </c>
      <c r="AV28" s="56">
        <f>maprop(AV33,AO34,AJ28,AM35,AO35,8)</f>
        <v>0.0023138531298307597</v>
      </c>
      <c r="AW28" s="54">
        <f>maprop(AW33,AO34,AJ28,AM35,AO35,8)</f>
        <v>0.002545182430817423</v>
      </c>
      <c r="AX28" s="55">
        <f>maprop(AX33,AO34,AJ28,AM35,AO35,8)</f>
        <v>0.0027966472858824433</v>
      </c>
      <c r="AY28" s="55">
        <f>maprop(AY33,AO34,AJ28,AM35,AO35,8)</f>
        <v>0.0030697351778942355</v>
      </c>
      <c r="AZ28" s="57">
        <f>maprop(AZ33,AO34,AJ28,AM35,AO35,8)</f>
        <v>0.0033660242274434816</v>
      </c>
      <c r="BA28" s="58">
        <f>maprop(BA33,AO34,AJ28,AM35,AO35,8)</f>
        <v>0.0036871877685036394</v>
      </c>
      <c r="BB28" s="55">
        <f>maprop(BB33,AO34,AJ28,AM35,AO35,8)</f>
        <v>0.004034999162889824</v>
      </c>
      <c r="BC28" s="55">
        <f>maprop(BC33,AO34,AJ28,AM35,AO35,8)</f>
        <v>0.0044113368745605855</v>
      </c>
      <c r="BD28" s="56">
        <f>maprop(BD33,AO34,AJ28,AM35,AO35,8)</f>
        <v>0.004818189827315988</v>
      </c>
      <c r="BE28" s="59">
        <f>maprop(BE33,AO34,AJ28,AM35,AO35,8)</f>
        <v>0.00525766307225024</v>
      </c>
      <c r="BH28" s="1"/>
    </row>
    <row r="29" spans="1:60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E29" s="1"/>
      <c r="AJ29" s="16">
        <f>AJ32+(AJ12-AJ32)/20*3</f>
        <v>15</v>
      </c>
      <c r="AK29" s="60">
        <f>maprop(AK33,AO34,AJ29,AM35,AO35,8)</f>
        <v>0.000563332714391869</v>
      </c>
      <c r="AL29" s="61">
        <f>maprop(AL33,AO34,AJ29,AM35,AO35,8)</f>
        <v>0.000627853182337948</v>
      </c>
      <c r="AM29" s="61">
        <f>maprop(AM33,AO34,AJ29,AM35,AO35,8)</f>
        <v>0.0006988431285126755</v>
      </c>
      <c r="AN29" s="62">
        <f>maprop(AN33,AO34,AJ29,AM35,AO35,8)</f>
        <v>0.0007768551850190869</v>
      </c>
      <c r="AO29" s="60">
        <f>maprop(AO33,AO34,AJ29,AM35,AO35,8)</f>
        <v>0.0008624805529590648</v>
      </c>
      <c r="AP29" s="61">
        <f>maprop(AP33,AO34,AJ29,AM35,AO35,8)</f>
        <v>0.0009563510579580532</v>
      </c>
      <c r="AQ29" s="61">
        <f>maprop(AQ33,AO34,AJ29,AM35,AO35,8)</f>
        <v>0.001059141282481983</v>
      </c>
      <c r="AR29" s="63">
        <f>maprop(AR33,AO34,AJ29,AM35,AO35,8)</f>
        <v>0.001171570777782127</v>
      </c>
      <c r="AS29" s="64">
        <f>maprop(AS33,AO34,AJ29,AM35,AO35,8)</f>
        <v>0.0012944063586722795</v>
      </c>
      <c r="AT29" s="61">
        <f>maprop(AT33,AO34,AJ29,AM35,AO35,8)</f>
        <v>0.0014284644847620672</v>
      </c>
      <c r="AU29" s="61">
        <f>maprop(AU33,AO34,AJ29,AM35,AO35,8)</f>
        <v>0.0015746137322509841</v>
      </c>
      <c r="AV29" s="62">
        <f>maprop(AV33,AO34,AJ29,AM35,AO35,8)</f>
        <v>0.0017337773609247807</v>
      </c>
      <c r="AW29" s="60">
        <f>maprop(AW33,AO34,AJ29,AM35,AO35,8)</f>
        <v>0.0019069359816083307</v>
      </c>
      <c r="AX29" s="61">
        <f>maprop(AX33,AO34,AJ29,AM35,AO35,8)</f>
        <v>0.0020951303300061072</v>
      </c>
      <c r="AY29" s="61">
        <f>maprop(AY33,AO34,AJ29,AM35,AO35,8)</f>
        <v>0.002299464153628678</v>
      </c>
      <c r="AZ29" s="63">
        <f>maprop(AZ33,AO34,AJ29,AM35,AO35,8)</f>
        <v>0.002521107219349855</v>
      </c>
      <c r="BA29" s="64">
        <f>maprop(BA33,AO34,AJ29,AM35,AO35,8)</f>
        <v>0.002761298450084046</v>
      </c>
      <c r="BB29" s="61">
        <f>maprop(BB33,AO34,AJ29,AM35,AO35,8)</f>
        <v>0.003021349200121331</v>
      </c>
      <c r="BC29" s="61">
        <f>maprop(BC33,AO34,AJ29,AM35,AO35,8)</f>
        <v>0.0033026466798169833</v>
      </c>
      <c r="BD29" s="62">
        <f>maprop(BD33,AO34,AJ29,AM35,AO35,8)</f>
        <v>0.003606657541616757</v>
      </c>
      <c r="BE29" s="65">
        <f>maprop(BE33,AO34,AJ29,AM35,AO35,8)</f>
        <v>0.003934931640813553</v>
      </c>
      <c r="BH29" s="1"/>
    </row>
    <row r="30" spans="1:60" ht="9.75" customHeight="1">
      <c r="A30" s="6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E30" s="1"/>
      <c r="AJ30" s="16">
        <f>AJ32+(AJ12-AJ32)/20*2</f>
        <v>10</v>
      </c>
      <c r="AK30" s="48">
        <f>maprop(AK33,AO34,AJ30,AM35,AO35,8)</f>
        <v>0.00037544179507867956</v>
      </c>
      <c r="AL30" s="49">
        <f>maprop(AL33,AO34,AJ30,AM35,AO35,8)</f>
        <v>0.000418427994102747</v>
      </c>
      <c r="AM30" s="49">
        <f>maprop(AM33,AO34,AJ30,AM35,AO35,8)</f>
        <v>0.00046572099301410875</v>
      </c>
      <c r="AN30" s="50">
        <f>maprop(AN33,AO34,AJ30,AM35,AO35,8)</f>
        <v>0.000517687923668413</v>
      </c>
      <c r="AO30" s="48">
        <f>maprop(AO33,AO34,AJ30,AM35,AO35,8)</f>
        <v>0.000574721383751978</v>
      </c>
      <c r="AP30" s="49">
        <f>maprop(AP33,AO34,AJ30,AM35,AO35,8)</f>
        <v>0.0006372407641469524</v>
      </c>
      <c r="AQ30" s="49">
        <f>maprop(AQ33,AO34,AJ30,AM35,AO35,8)</f>
        <v>0.0007056936207559507</v>
      </c>
      <c r="AR30" s="51">
        <f>maprop(AR33,AO34,AJ30,AM35,AO35,8)</f>
        <v>0.0007805570917386496</v>
      </c>
      <c r="AS30" s="52">
        <f>maprop(AS33,AO34,AJ30,AM35,AO35,8)</f>
        <v>0.0008623393612469438</v>
      </c>
      <c r="AT30" s="49">
        <f>maprop(AT33,AO34,AJ30,AM35,AO35,8)</f>
        <v>0.0009515811708929641</v>
      </c>
      <c r="AU30" s="49">
        <f>maprop(AU33,AO34,AJ30,AM35,AO35,8)</f>
        <v>0.0010488573803705916</v>
      </c>
      <c r="AV30" s="50">
        <f>maprop(AV33,AO34,AJ30,AM35,AO35,8)</f>
        <v>0.0011547785788462884</v>
      </c>
      <c r="AW30" s="48">
        <f>maprop(AW33,AO34,AJ30,AM35,AO35,8)</f>
        <v>0.0012699927489795313</v>
      </c>
      <c r="AX30" s="49">
        <f>maprop(AX33,AO34,AJ30,AM35,AO35,8)</f>
        <v>0.0013951869856884973</v>
      </c>
      <c r="AY30" s="49">
        <f>maprop(AY33,AO34,AJ30,AM35,AO35,8)</f>
        <v>0.0015310892720813358</v>
      </c>
      <c r="AZ30" s="51">
        <f>maprop(AZ33,AO34,AJ30,AM35,AO35,8)</f>
        <v>0.0016784703153030483</v>
      </c>
      <c r="BA30" s="52">
        <f>maprop(BA33,AO34,AJ30,AM35,AO35,8)</f>
        <v>0.0018381454454242012</v>
      </c>
      <c r="BB30" s="49">
        <f>maprop(BB33,AO34,AJ30,AM35,AO35,8)</f>
        <v>0.0020109765809081274</v>
      </c>
      <c r="BC30" s="49">
        <f>maprop(BC33,AO34,AJ30,AM35,AO35,8)</f>
        <v>0.002197874264654518</v>
      </c>
      <c r="BD30" s="50">
        <f>maprop(BD33,AO34,AJ30,AM35,AO35,8)</f>
        <v>0.002399799775121292</v>
      </c>
      <c r="BE30" s="53">
        <f>maprop(BE33,AO34,AJ30,AM35,AO35,8)</f>
        <v>0.0026177673175862234</v>
      </c>
      <c r="BH30" s="1"/>
    </row>
    <row r="31" spans="1:57" ht="9.75" customHeight="1">
      <c r="A31" s="6"/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E31" s="1"/>
      <c r="AJ31" s="16">
        <f>AJ32+(AJ12-AJ32)/20*1</f>
        <v>5</v>
      </c>
      <c r="AK31" s="48">
        <f>maprop(AK33,AO34,AJ31,AM35,AO35,8)</f>
        <v>0.0001876642578144731</v>
      </c>
      <c r="AL31" s="49">
        <f>maprop(AL33,AO34,AJ31,AM35,AO35,8)</f>
        <v>0.00020914364733313866</v>
      </c>
      <c r="AM31" s="49">
        <f>maprop(AM33,AO34,AJ31,AM35,AO35,8)</f>
        <v>0.00023277334878865969</v>
      </c>
      <c r="AN31" s="50">
        <f>maprop(AN33,AO34,AJ31,AM35,AO35,8)</f>
        <v>0.0002587362849884935</v>
      </c>
      <c r="AO31" s="48">
        <f>maprop(AO33,AO34,AJ31,AM35,AO35,8)</f>
        <v>0.00028722798877673625</v>
      </c>
      <c r="AP31" s="49">
        <f>maprop(AP33,AO34,AJ31,AM35,AO35,8)</f>
        <v>0.0003184572453872682</v>
      </c>
      <c r="AQ31" s="49">
        <f>maprop(AQ33,AO34,AJ31,AM35,AO35,8)</f>
        <v>0.0003526467537086167</v>
      </c>
      <c r="AR31" s="51">
        <f>maprop(AR33,AO34,AJ31,AM35,AO35,8)</f>
        <v>0.0003900338064769195</v>
      </c>
      <c r="AS31" s="52">
        <f>maprop(AS33,AO34,AJ31,AM35,AO35,8)</f>
        <v>0.00043087098943134526</v>
      </c>
      <c r="AT31" s="49">
        <f>maprop(AT33,AO34,AJ31,AM35,AO35,8)</f>
        <v>0.00047542689948063883</v>
      </c>
      <c r="AU31" s="49">
        <f>maprop(AU33,AO34,AJ31,AM35,AO35,8)</f>
        <v>0.0005239868819515357</v>
      </c>
      <c r="AV31" s="50">
        <f>maprop(AV33,AO34,AJ31,AM35,AO35,8)</f>
        <v>0.0005768537870256002</v>
      </c>
      <c r="AW31" s="48">
        <f>maprop(AW33,AO34,AJ31,AM35,AO35,8)</f>
        <v>0.0006343487455026111</v>
      </c>
      <c r="AX31" s="49">
        <f>maprop(AX33,AO34,AJ31,AM35,AO35,8)</f>
        <v>0.0006968119640788018</v>
      </c>
      <c r="AY31" s="49">
        <f>maprop(AY33,AO34,AJ31,AM35,AO35,8)</f>
        <v>0.0007646035403809961</v>
      </c>
      <c r="AZ31" s="51">
        <f>maprop(AZ33,AO34,AJ31,AM35,AO35,8)</f>
        <v>0.0008381042980620756</v>
      </c>
      <c r="BA31" s="52">
        <f>maprop(BA33,AO34,AJ31,AM35,AO35,8)</f>
        <v>0.0009177166423330073</v>
      </c>
      <c r="BB31" s="49">
        <f>maprop(BB33,AO34,AJ31,AM35,AO35,8)</f>
        <v>0.0010038654363923483</v>
      </c>
      <c r="BC31" s="49">
        <f>maprop(BC33,AO34,AJ31,AM35,AO35,8)</f>
        <v>0.001096998899307515</v>
      </c>
      <c r="BD31" s="50">
        <f>maprop(BD33,AO34,AJ31,AM35,AO35,8)</f>
        <v>0.0011975895260031024</v>
      </c>
      <c r="BE31" s="53">
        <f>maprop(BE33,AO34,AJ31,AM35,AO35,8)</f>
        <v>0.0013061350301311885</v>
      </c>
    </row>
    <row r="32" spans="1:57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E32" s="1"/>
      <c r="AJ32" s="20">
        <v>0</v>
      </c>
      <c r="AK32" s="54">
        <f>maprop(AK33,AO34,AJ32,AM35,AO35,8)</f>
        <v>0</v>
      </c>
      <c r="AL32" s="55">
        <f>maprop(AL33,AO34,AJ32,AM35,AO35,8)</f>
        <v>0</v>
      </c>
      <c r="AM32" s="55">
        <f>maprop(AM33,AO34,AJ32,AM35,AO35,8)</f>
        <v>0</v>
      </c>
      <c r="AN32" s="56">
        <f>maprop(AN33,AO34,AJ32,AM35,AO35,8)</f>
        <v>0</v>
      </c>
      <c r="AO32" s="54">
        <f>maprop(AO33,AO34,AJ32,AM35,AO35,8)</f>
        <v>0</v>
      </c>
      <c r="AP32" s="55">
        <f>maprop(AP33,AO34,AJ32,AM35,AO35,8)</f>
        <v>0</v>
      </c>
      <c r="AQ32" s="55">
        <f>maprop(AQ33,AO34,AJ32,AM35,AO35,8)</f>
        <v>0</v>
      </c>
      <c r="AR32" s="57">
        <f>maprop(AR33,AO34,AJ32,AM35,AO35,8)</f>
        <v>0</v>
      </c>
      <c r="AS32" s="58">
        <f>maprop(AS33,AO34,AJ32,AM35,AO35,8)</f>
        <v>0</v>
      </c>
      <c r="AT32" s="55">
        <f>maprop(AT33,AO34,AJ32,AM35,AO35,8)</f>
        <v>0</v>
      </c>
      <c r="AU32" s="55">
        <f>maprop(AU33,AO34,AJ32,AM35,AO35,8)</f>
        <v>0</v>
      </c>
      <c r="AV32" s="56">
        <f>maprop(AV33,AO34,AJ32,AM35,AO35,8)</f>
        <v>0</v>
      </c>
      <c r="AW32" s="54">
        <f>maprop(AW33,AO34,AJ32,AM35,AO35,8)</f>
        <v>0</v>
      </c>
      <c r="AX32" s="55">
        <f>maprop(AX33,AO34,AJ32,AM35,AO35,8)</f>
        <v>0</v>
      </c>
      <c r="AY32" s="55">
        <f>maprop(AY33,AO34,AJ32,AM35,AO35,8)</f>
        <v>0</v>
      </c>
      <c r="AZ32" s="57">
        <f>maprop(AZ33,AO34,AJ32,AM35,AO35,8)</f>
        <v>0</v>
      </c>
      <c r="BA32" s="58">
        <f>maprop(BA33,AO34,AJ32,AM35,AO35,8)</f>
        <v>0</v>
      </c>
      <c r="BB32" s="55">
        <f>maprop(BB33,AO34,AJ32,AM35,AO35,8)</f>
        <v>0</v>
      </c>
      <c r="BC32" s="55">
        <f>maprop(BC33,AO34,AJ32,AM35,AO35,8)</f>
        <v>0</v>
      </c>
      <c r="BD32" s="56">
        <f>maprop(BD33,AO34,AJ32,AM35,AO35,8)</f>
        <v>0</v>
      </c>
      <c r="BE32" s="59">
        <f>maprop(BE33,AO34,AJ32,AM35,AO35,8)</f>
        <v>0</v>
      </c>
    </row>
    <row r="33" spans="1:60" ht="9.75" customHeight="1">
      <c r="A33" s="6"/>
      <c r="B33" s="6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E33" s="1"/>
      <c r="AJ33" s="3"/>
      <c r="AK33" s="18">
        <v>0.001</v>
      </c>
      <c r="AL33" s="22">
        <f>AK33+(BE33-AK33)/20*1</f>
        <v>1.5009499999999998</v>
      </c>
      <c r="AM33" s="22">
        <f>AK33+(BE33-AK33)/20*2</f>
        <v>3.0008999999999997</v>
      </c>
      <c r="AN33" s="22">
        <f>AK33+(BE33-AK33)/20*3</f>
        <v>4.50085</v>
      </c>
      <c r="AO33" s="24">
        <f>AK33+(BE33-AK33)/20*4</f>
        <v>6.0008</v>
      </c>
      <c r="AP33" s="15">
        <f>AK33+(BE33-AK33)/20*5</f>
        <v>7.50075</v>
      </c>
      <c r="AQ33" s="15">
        <f>AK33+(BE33-AK33)/20*6</f>
        <v>9.000699999999998</v>
      </c>
      <c r="AR33" s="25">
        <f>AK33+(BE33-AK33)/20*7</f>
        <v>10.500649999999998</v>
      </c>
      <c r="AS33" s="22">
        <f>AK33+(BE33-AK33)/20*8</f>
        <v>12.000599999999999</v>
      </c>
      <c r="AT33" s="22">
        <f>AK33+(BE33-AK33)/20*9</f>
        <v>13.500549999999999</v>
      </c>
      <c r="AU33" s="22">
        <f>AK33+(BE33-AK33)/20*10</f>
        <v>15.000499999999999</v>
      </c>
      <c r="AV33" s="22">
        <f>AK33+(BE33-AK33)/20*11</f>
        <v>16.50045</v>
      </c>
      <c r="AW33" s="24">
        <f>AK33+(BE33-AK33)/20*12</f>
        <v>18.0004</v>
      </c>
      <c r="AX33" s="15">
        <f>AK33+(BE33-AK33)/20*13</f>
        <v>19.50035</v>
      </c>
      <c r="AY33" s="15">
        <f>AK33+(BE33-AK33)/20*14</f>
        <v>21.0003</v>
      </c>
      <c r="AZ33" s="25">
        <f>AK33+(BE33-AK33)/20*15</f>
        <v>22.50025</v>
      </c>
      <c r="BA33" s="22">
        <f>AK33+(BE33-AK33)/20*16</f>
        <v>24.0002</v>
      </c>
      <c r="BB33" s="22">
        <f>AK33+(BE33-AK33)/20*17</f>
        <v>25.500149999999998</v>
      </c>
      <c r="BC33" s="22">
        <f>AK33+(BE33-AK33)/20*18</f>
        <v>27.0001</v>
      </c>
      <c r="BD33" s="22">
        <f>AK33+(BE33-AK33)/20*19</f>
        <v>28.500049999999998</v>
      </c>
      <c r="BE33" s="138">
        <f>(INT((X43-0.001)/5)+1)*5</f>
        <v>30</v>
      </c>
      <c r="BH33" s="1"/>
    </row>
    <row r="34" spans="1:60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E34" s="1"/>
      <c r="AK34" s="27" t="s">
        <v>13</v>
      </c>
      <c r="AL34" s="1"/>
      <c r="AN34" s="1"/>
      <c r="AO34" s="21" t="s">
        <v>10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H34" s="1"/>
    </row>
    <row r="35" spans="1:60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E35" s="1"/>
      <c r="AJ35" s="1"/>
      <c r="AK35" s="26" t="s">
        <v>14</v>
      </c>
      <c r="AL35" s="1"/>
      <c r="AM35" s="7">
        <f>X45</f>
        <v>0</v>
      </c>
      <c r="AN35" s="1"/>
      <c r="AO35" s="2" t="str">
        <f>AD45</f>
        <v>mmH2O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H35" s="1"/>
    </row>
    <row r="36" spans="1:37" ht="9.75" customHeight="1">
      <c r="A36" s="6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E36" s="1"/>
      <c r="AJ36" s="135" t="s">
        <v>289</v>
      </c>
      <c r="AK36" s="66"/>
    </row>
    <row r="37" spans="1:37" ht="9.75" customHeight="1">
      <c r="A37" s="6"/>
      <c r="B37" s="6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9"/>
      <c r="Z37" s="1"/>
      <c r="AA37" s="1"/>
      <c r="AE37" s="1"/>
      <c r="AJ37" s="127">
        <f>E44</f>
        <v>0.013312962825118846</v>
      </c>
      <c r="AK37" s="127">
        <f>N44</f>
        <v>0.00763161354502451</v>
      </c>
    </row>
    <row r="38" spans="1:37" ht="9.75" customHeight="1">
      <c r="A38" s="6"/>
      <c r="B38" s="6"/>
      <c r="C38" s="76" t="s">
        <v>191</v>
      </c>
      <c r="Z38" s="6"/>
      <c r="AE38" s="1"/>
      <c r="AJ38" s="127">
        <f>X43</f>
        <v>30</v>
      </c>
      <c r="AK38" s="127">
        <f>AB43</f>
        <v>10</v>
      </c>
    </row>
    <row r="39" spans="1:31" ht="9.75" customHeight="1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E39" s="1"/>
    </row>
    <row r="40" spans="1:33" ht="9.75" customHeight="1">
      <c r="A40" s="6"/>
      <c r="B40" s="6"/>
      <c r="D40" s="194" t="s">
        <v>61</v>
      </c>
      <c r="E40" s="194"/>
      <c r="F40" s="194"/>
      <c r="M40" s="194" t="s">
        <v>60</v>
      </c>
      <c r="N40" s="194"/>
      <c r="O40" s="194"/>
      <c r="R40" s="178" t="s">
        <v>193</v>
      </c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</row>
    <row r="41" spans="1:43" ht="9.75" customHeight="1">
      <c r="A41" s="6"/>
      <c r="B41" s="6"/>
      <c r="C41" s="1"/>
      <c r="G41" s="1"/>
      <c r="H41" s="1"/>
      <c r="I41" s="1"/>
      <c r="J41" s="1"/>
      <c r="K41" s="1"/>
      <c r="L41" s="1"/>
      <c r="P41" s="1"/>
      <c r="Q41" s="1"/>
      <c r="R41" s="9"/>
      <c r="S41" s="9"/>
      <c r="T41" s="9"/>
      <c r="U41" s="9"/>
      <c r="V41" s="9"/>
      <c r="W41" s="9"/>
      <c r="X41" s="178" t="str">
        <f>D40</f>
        <v>State 1</v>
      </c>
      <c r="Y41" s="178"/>
      <c r="Z41" s="9"/>
      <c r="AA41" s="32"/>
      <c r="AB41" s="178" t="str">
        <f>M40</f>
        <v>State 2</v>
      </c>
      <c r="AC41" s="178"/>
      <c r="AD41" s="9"/>
      <c r="AE41" s="9"/>
      <c r="AF41" s="9"/>
      <c r="AG41" s="9"/>
      <c r="AJ41" s="16" t="s">
        <v>57</v>
      </c>
      <c r="AQ41" s="127" t="str">
        <f>M40</f>
        <v>State 2</v>
      </c>
    </row>
    <row r="42" spans="1:48" ht="9.75" customHeight="1">
      <c r="A42" s="6"/>
      <c r="B42" s="6"/>
      <c r="C42" s="1"/>
      <c r="D42" s="23" t="s">
        <v>25</v>
      </c>
      <c r="E42" s="195">
        <f>X49</f>
        <v>19379.59402432371</v>
      </c>
      <c r="F42" s="195"/>
      <c r="G42" s="1"/>
      <c r="H42" s="1"/>
      <c r="I42" s="1"/>
      <c r="J42" s="1"/>
      <c r="K42" s="1"/>
      <c r="L42" s="1"/>
      <c r="M42" s="23" t="s">
        <v>25</v>
      </c>
      <c r="N42" s="195">
        <f>AB49</f>
        <v>19379.59402432371</v>
      </c>
      <c r="O42" s="195"/>
      <c r="P42" s="1"/>
      <c r="Q42" s="1"/>
      <c r="R42" s="69" t="s">
        <v>71</v>
      </c>
      <c r="S42" s="69"/>
      <c r="T42" s="69"/>
      <c r="U42" s="69"/>
      <c r="V42" s="17"/>
      <c r="W42" s="17"/>
      <c r="X42" s="201">
        <v>17000</v>
      </c>
      <c r="Y42" s="201"/>
      <c r="Z42" s="69"/>
      <c r="AA42" s="17"/>
      <c r="AB42" s="176">
        <f>IF(AD42="m3/h",AB47,IF(AD42="kg/h",AS56,IF(AD42="Nm3/h",AS56/AS52)))</f>
        <v>15736.442912682482</v>
      </c>
      <c r="AC42" s="176"/>
      <c r="AD42" s="17" t="s">
        <v>178</v>
      </c>
      <c r="AE42" s="17"/>
      <c r="AF42" s="17"/>
      <c r="AG42" s="17"/>
      <c r="AJ42" s="28" t="s">
        <v>64</v>
      </c>
      <c r="AK42" s="28"/>
      <c r="AL42" s="178" t="s">
        <v>65</v>
      </c>
      <c r="AM42" s="178"/>
      <c r="AN42" s="190" t="s">
        <v>66</v>
      </c>
      <c r="AO42" s="190"/>
      <c r="AQ42" s="28" t="s">
        <v>64</v>
      </c>
      <c r="AR42" s="28"/>
      <c r="AS42" s="178" t="str">
        <f>AL42</f>
        <v>volume%</v>
      </c>
      <c r="AT42" s="178"/>
      <c r="AU42" s="190" t="s">
        <v>66</v>
      </c>
      <c r="AV42" s="190"/>
    </row>
    <row r="43" spans="1:48" ht="9.75" customHeight="1">
      <c r="A43" s="1"/>
      <c r="B43" s="1"/>
      <c r="C43" s="1"/>
      <c r="D43" s="23" t="s">
        <v>26</v>
      </c>
      <c r="E43" s="196">
        <f>X51</f>
        <v>15.333674891802005</v>
      </c>
      <c r="F43" s="196"/>
      <c r="G43" s="1"/>
      <c r="H43" s="15" t="s">
        <v>182</v>
      </c>
      <c r="I43" s="1"/>
      <c r="J43" s="1"/>
      <c r="K43" s="1"/>
      <c r="L43" s="1"/>
      <c r="M43" s="23" t="s">
        <v>28</v>
      </c>
      <c r="N43" s="196">
        <f>AB51</f>
        <v>6.9946442371129915</v>
      </c>
      <c r="O43" s="196"/>
      <c r="P43" s="1"/>
      <c r="Q43" s="1"/>
      <c r="R43" s="68" t="s">
        <v>63</v>
      </c>
      <c r="S43" s="68"/>
      <c r="T43" s="68"/>
      <c r="U43" s="68"/>
      <c r="V43" s="68"/>
      <c r="W43" s="68"/>
      <c r="X43" s="188">
        <v>30</v>
      </c>
      <c r="Y43" s="188"/>
      <c r="Z43" s="68"/>
      <c r="AA43" s="17"/>
      <c r="AB43" s="188">
        <v>10</v>
      </c>
      <c r="AC43" s="188"/>
      <c r="AD43" s="74" t="s">
        <v>35</v>
      </c>
      <c r="AE43" s="17"/>
      <c r="AF43" s="17"/>
      <c r="AG43" s="17"/>
      <c r="AJ43" s="29" t="s">
        <v>69</v>
      </c>
      <c r="AK43" s="29"/>
      <c r="AL43" s="179">
        <f>((fprop("Saturated","H2O",X43,AD43,0,"","Yes",0,1,10)+1.033227)*X44/100)/(pressconv(X45,AD45,"kg/cm2.g")+1.033227)*100</f>
        <v>2.0955786832521657</v>
      </c>
      <c r="AM43" s="179"/>
      <c r="AN43" s="143">
        <v>0</v>
      </c>
      <c r="AO43" s="143"/>
      <c r="AQ43" s="29" t="s">
        <v>69</v>
      </c>
      <c r="AR43" s="29"/>
      <c r="AS43" s="210">
        <f>(AL56/AL52*AL43/100-AB50/18.0152*22.41383)/(AL56/AL52-AB50/18.0152*22.41383)*100</f>
        <v>1.2121240667602637</v>
      </c>
      <c r="AT43" s="210"/>
      <c r="AU43" s="211">
        <f>AN43</f>
        <v>0</v>
      </c>
      <c r="AV43" s="211"/>
    </row>
    <row r="44" spans="1:48" ht="9.75" customHeight="1">
      <c r="A44" s="6"/>
      <c r="B44" s="6"/>
      <c r="C44" s="1"/>
      <c r="D44" s="23" t="s">
        <v>27</v>
      </c>
      <c r="E44" s="197">
        <f>X46</f>
        <v>0.013312962825118846</v>
      </c>
      <c r="F44" s="197"/>
      <c r="G44" s="1"/>
      <c r="H44" s="1"/>
      <c r="I44" s="1"/>
      <c r="J44" s="172" t="s">
        <v>273</v>
      </c>
      <c r="K44" s="172"/>
      <c r="L44" s="1"/>
      <c r="M44" s="23" t="s">
        <v>29</v>
      </c>
      <c r="N44" s="197">
        <f>AB46</f>
        <v>0.00763161354502451</v>
      </c>
      <c r="O44" s="197"/>
      <c r="P44" s="1"/>
      <c r="Q44" s="1"/>
      <c r="R44" s="68" t="s">
        <v>67</v>
      </c>
      <c r="S44" s="68"/>
      <c r="T44" s="68"/>
      <c r="U44" s="68"/>
      <c r="V44" s="68"/>
      <c r="W44" s="68"/>
      <c r="X44" s="188">
        <v>50</v>
      </c>
      <c r="Y44" s="188"/>
      <c r="Z44" s="68"/>
      <c r="AA44" s="17"/>
      <c r="AB44" s="188">
        <v>100</v>
      </c>
      <c r="AC44" s="188"/>
      <c r="AD44" s="68" t="s">
        <v>68</v>
      </c>
      <c r="AE44" s="17"/>
      <c r="AF44" s="17"/>
      <c r="AG44" s="17"/>
      <c r="AJ44" s="17" t="s">
        <v>70</v>
      </c>
      <c r="AK44" s="17"/>
      <c r="AL44" s="180">
        <f>(100-AL43)*AN44/AN50</f>
        <v>76.4499818404246</v>
      </c>
      <c r="AM44" s="180"/>
      <c r="AN44" s="188">
        <v>78.084</v>
      </c>
      <c r="AO44" s="188"/>
      <c r="AQ44" s="17" t="s">
        <v>70</v>
      </c>
      <c r="AR44" s="17"/>
      <c r="AS44" s="180">
        <f>(100-AS43)*AU44/AU50</f>
        <v>77.13983923888807</v>
      </c>
      <c r="AT44" s="180"/>
      <c r="AU44" s="204">
        <f>AN44</f>
        <v>78.084</v>
      </c>
      <c r="AV44" s="204"/>
    </row>
    <row r="45" spans="1:48" ht="9.75" customHeight="1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 t="s">
        <v>14</v>
      </c>
      <c r="S45" s="17"/>
      <c r="T45" s="17"/>
      <c r="U45" s="17"/>
      <c r="V45" s="17"/>
      <c r="W45" s="17"/>
      <c r="X45" s="188">
        <v>0</v>
      </c>
      <c r="Y45" s="188"/>
      <c r="Z45" s="17"/>
      <c r="AA45" s="17"/>
      <c r="AB45" s="149">
        <f>X45</f>
        <v>0</v>
      </c>
      <c r="AC45" s="149"/>
      <c r="AD45" s="17" t="s">
        <v>12</v>
      </c>
      <c r="AE45" s="17"/>
      <c r="AF45" s="17"/>
      <c r="AG45" s="17"/>
      <c r="AJ45" s="17" t="s">
        <v>72</v>
      </c>
      <c r="AK45" s="17"/>
      <c r="AL45" s="180">
        <f>(100-AL43)*AN45/AN50</f>
        <v>20.50924183700218</v>
      </c>
      <c r="AM45" s="180"/>
      <c r="AN45" s="188">
        <v>20.9476</v>
      </c>
      <c r="AO45" s="188"/>
      <c r="AQ45" s="17" t="s">
        <v>72</v>
      </c>
      <c r="AR45" s="17"/>
      <c r="AS45" s="180">
        <f>(100-AS43)*AU45/AU50</f>
        <v>20.694309928289176</v>
      </c>
      <c r="AT45" s="180"/>
      <c r="AU45" s="204">
        <f>AN45</f>
        <v>20.9476</v>
      </c>
      <c r="AV45" s="204"/>
    </row>
    <row r="46" spans="1:48" ht="9.75" customHeight="1">
      <c r="A46" s="1"/>
      <c r="B46" s="1"/>
      <c r="C46" s="1"/>
      <c r="D46" s="1"/>
      <c r="E46" s="1"/>
      <c r="F46" s="1"/>
      <c r="G46" s="1"/>
      <c r="H46" s="1"/>
      <c r="I46" s="23" t="s">
        <v>260</v>
      </c>
      <c r="J46" s="172" t="s">
        <v>147</v>
      </c>
      <c r="K46" s="172"/>
      <c r="L46" s="202">
        <f>AB50</f>
        <v>110.102242558612</v>
      </c>
      <c r="M46" s="202"/>
      <c r="N46" s="1"/>
      <c r="O46" s="1"/>
      <c r="P46" s="1"/>
      <c r="Q46" s="1"/>
      <c r="R46" s="17" t="s">
        <v>282</v>
      </c>
      <c r="S46" s="17"/>
      <c r="T46" s="17"/>
      <c r="U46" s="17"/>
      <c r="V46" s="17"/>
      <c r="W46" s="121" t="str">
        <f>D44</f>
        <v>W1</v>
      </c>
      <c r="X46" s="149">
        <f>maprop(X43,AD43,X44,X45,AD45,8)</f>
        <v>0.013312962825118846</v>
      </c>
      <c r="Y46" s="149"/>
      <c r="Z46" s="17"/>
      <c r="AA46" s="121" t="str">
        <f>M44</f>
        <v>W2</v>
      </c>
      <c r="AB46" s="149">
        <f>maprop(AB43,AD43,AB44,AB45,AD45,8)</f>
        <v>0.00763161354502451</v>
      </c>
      <c r="AC46" s="149"/>
      <c r="AD46" s="17" t="s">
        <v>75</v>
      </c>
      <c r="AE46" s="17"/>
      <c r="AF46" s="17"/>
      <c r="AG46" s="17"/>
      <c r="AJ46" s="17" t="s">
        <v>74</v>
      </c>
      <c r="AK46" s="17"/>
      <c r="AL46" s="180">
        <f>(100-AL43)*AN46/AN50</f>
        <v>0.914454728740287</v>
      </c>
      <c r="AM46" s="180"/>
      <c r="AN46" s="188">
        <v>0.934</v>
      </c>
      <c r="AO46" s="188"/>
      <c r="AQ46" s="17" t="s">
        <v>74</v>
      </c>
      <c r="AR46" s="17"/>
      <c r="AS46" s="180">
        <f>(100-AS43)*AU46/AU50</f>
        <v>0.9227064424097314</v>
      </c>
      <c r="AT46" s="180"/>
      <c r="AU46" s="204">
        <f>AN46</f>
        <v>0.934</v>
      </c>
      <c r="AV46" s="204"/>
    </row>
    <row r="47" spans="1:48" ht="9.75" customHeight="1">
      <c r="A47" s="6"/>
      <c r="B47" s="6"/>
      <c r="C47" s="1"/>
      <c r="D47" s="1"/>
      <c r="E47" s="1"/>
      <c r="F47" s="1"/>
      <c r="G47" s="1"/>
      <c r="I47" s="1"/>
      <c r="J47" s="172" t="s">
        <v>148</v>
      </c>
      <c r="K47" s="172"/>
      <c r="L47" s="203">
        <f>AB53</f>
        <v>10.059884023047854</v>
      </c>
      <c r="M47" s="203"/>
      <c r="N47" s="1"/>
      <c r="O47" s="1"/>
      <c r="P47" s="1"/>
      <c r="Q47" s="1"/>
      <c r="R47" s="69" t="s">
        <v>71</v>
      </c>
      <c r="S47" s="69"/>
      <c r="T47" s="69"/>
      <c r="U47" s="17" t="s">
        <v>185</v>
      </c>
      <c r="V47" s="69"/>
      <c r="W47" s="17"/>
      <c r="X47" s="176">
        <f>AL56/AL55</f>
        <v>17000</v>
      </c>
      <c r="Y47" s="176"/>
      <c r="Z47" s="17"/>
      <c r="AA47" s="73"/>
      <c r="AB47" s="176">
        <f>AB49*AB48</f>
        <v>15736.442912682482</v>
      </c>
      <c r="AC47" s="176"/>
      <c r="AD47" s="17" t="s">
        <v>186</v>
      </c>
      <c r="AE47" s="17"/>
      <c r="AF47" s="17"/>
      <c r="AG47" s="17"/>
      <c r="AJ47" s="17" t="s">
        <v>76</v>
      </c>
      <c r="AK47" s="17"/>
      <c r="AL47" s="180">
        <f>(100-AL43)*AN47/AN50</f>
        <v>0.03074291058077624</v>
      </c>
      <c r="AM47" s="180"/>
      <c r="AN47" s="188">
        <v>0.0314</v>
      </c>
      <c r="AO47" s="188"/>
      <c r="AQ47" s="17" t="s">
        <v>76</v>
      </c>
      <c r="AR47" s="17"/>
      <c r="AS47" s="180">
        <f>(100-AS43)*AU47/AU50</f>
        <v>0.031020323652746856</v>
      </c>
      <c r="AT47" s="180"/>
      <c r="AU47" s="204">
        <f>AN47</f>
        <v>0.0314</v>
      </c>
      <c r="AV47" s="204"/>
    </row>
    <row r="48" spans="1:48" ht="9.75" customHeight="1">
      <c r="A48" s="6"/>
      <c r="B48" s="6"/>
      <c r="C48" s="1"/>
      <c r="E48" s="1"/>
      <c r="F48" s="1"/>
      <c r="G48" s="1"/>
      <c r="H48" s="1"/>
      <c r="I48" s="1"/>
      <c r="L48" s="1"/>
      <c r="M48" s="1"/>
      <c r="N48" s="1"/>
      <c r="O48" s="1"/>
      <c r="P48" s="1"/>
      <c r="Q48" s="1"/>
      <c r="R48" s="17" t="s">
        <v>188</v>
      </c>
      <c r="S48" s="17"/>
      <c r="T48" s="17"/>
      <c r="U48" s="17"/>
      <c r="V48" s="17"/>
      <c r="W48" s="17"/>
      <c r="X48" s="180">
        <f>maprop(X43,AD43,X44,X45,AD45,1)</f>
        <v>0.8772113584352162</v>
      </c>
      <c r="Y48" s="180"/>
      <c r="Z48" s="17"/>
      <c r="AA48" s="17"/>
      <c r="AB48" s="180">
        <f>maprop(AB43,AD43,AB44,AB45,AD45,1)</f>
        <v>0.8120109684924959</v>
      </c>
      <c r="AC48" s="180"/>
      <c r="AD48" s="17" t="s">
        <v>187</v>
      </c>
      <c r="AE48" s="17"/>
      <c r="AF48" s="17"/>
      <c r="AG48" s="17"/>
      <c r="AJ48" s="30"/>
      <c r="AK48" s="30"/>
      <c r="AL48" s="184"/>
      <c r="AM48" s="184"/>
      <c r="AN48" s="182"/>
      <c r="AO48" s="182"/>
      <c r="AQ48" s="30"/>
      <c r="AR48" s="30"/>
      <c r="AS48" s="184"/>
      <c r="AT48" s="184"/>
      <c r="AU48" s="182"/>
      <c r="AV48" s="182"/>
    </row>
    <row r="49" spans="1:48" ht="9.75" customHeight="1">
      <c r="A49" s="1"/>
      <c r="B49" s="1"/>
      <c r="C49" s="1"/>
      <c r="P49" s="1"/>
      <c r="Q49" s="1"/>
      <c r="R49" s="205" t="s">
        <v>189</v>
      </c>
      <c r="S49" s="205"/>
      <c r="T49" s="205"/>
      <c r="U49" s="17"/>
      <c r="V49" s="17"/>
      <c r="W49" s="121" t="str">
        <f>D42</f>
        <v>ma</v>
      </c>
      <c r="X49" s="176">
        <f>X47/X48</f>
        <v>19379.59402432371</v>
      </c>
      <c r="Y49" s="176"/>
      <c r="Z49" s="17"/>
      <c r="AA49" s="122" t="str">
        <f>M42</f>
        <v>ma</v>
      </c>
      <c r="AB49" s="176">
        <f>X49</f>
        <v>19379.59402432371</v>
      </c>
      <c r="AC49" s="176"/>
      <c r="AD49" s="17" t="s">
        <v>190</v>
      </c>
      <c r="AE49" s="17"/>
      <c r="AF49" s="17"/>
      <c r="AG49" s="17"/>
      <c r="AJ49" s="31"/>
      <c r="AK49" s="31"/>
      <c r="AL49" s="200"/>
      <c r="AM49" s="200"/>
      <c r="AN49" s="183"/>
      <c r="AO49" s="183"/>
      <c r="AQ49" s="31"/>
      <c r="AR49" s="31"/>
      <c r="AS49" s="200"/>
      <c r="AT49" s="200"/>
      <c r="AU49" s="183"/>
      <c r="AV49" s="183"/>
    </row>
    <row r="50" spans="1:48" ht="9.75" customHeight="1">
      <c r="A50" s="6"/>
      <c r="B50" s="6"/>
      <c r="C50" s="1"/>
      <c r="D50" s="1" t="s">
        <v>30</v>
      </c>
      <c r="E50" s="1"/>
      <c r="F50" s="2" t="str">
        <f>H43</f>
        <v>Q</v>
      </c>
      <c r="G50" s="2" t="s">
        <v>259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205"/>
      <c r="S50" s="205"/>
      <c r="T50" s="205"/>
      <c r="U50" s="17"/>
      <c r="V50" s="17"/>
      <c r="W50" s="17"/>
      <c r="X50" s="17"/>
      <c r="Y50" s="17"/>
      <c r="Z50" s="17"/>
      <c r="AA50" s="17" t="str">
        <f>J46</f>
        <v>mw</v>
      </c>
      <c r="AB50" s="176">
        <f>X49*(X46-AB46)</f>
        <v>110.102242558612</v>
      </c>
      <c r="AC50" s="176"/>
      <c r="AD50" s="17" t="s">
        <v>43</v>
      </c>
      <c r="AE50" s="17"/>
      <c r="AF50" s="17"/>
      <c r="AG50" s="17"/>
      <c r="AJ50" s="28" t="s">
        <v>79</v>
      </c>
      <c r="AK50" s="28"/>
      <c r="AL50" s="186">
        <f>SUM(AL43:AM49)</f>
        <v>100</v>
      </c>
      <c r="AM50" s="186"/>
      <c r="AN50" s="185">
        <f>SUM(AN43:AP49)</f>
        <v>99.997</v>
      </c>
      <c r="AO50" s="185"/>
      <c r="AQ50" s="28" t="s">
        <v>79</v>
      </c>
      <c r="AR50" s="28"/>
      <c r="AS50" s="186">
        <f>SUM(AS43:AT49)</f>
        <v>99.99999999999999</v>
      </c>
      <c r="AT50" s="186"/>
      <c r="AU50" s="185">
        <f>SUM(AU43:AW49)</f>
        <v>99.997</v>
      </c>
      <c r="AV50" s="185"/>
    </row>
    <row r="51" spans="1:48" ht="9.75" customHeight="1">
      <c r="A51" s="1"/>
      <c r="B51" s="1"/>
      <c r="D51" s="1"/>
      <c r="E51" s="1"/>
      <c r="F51" s="1"/>
      <c r="H51" s="1"/>
      <c r="I51" s="1"/>
      <c r="J51" s="1"/>
      <c r="K51" s="1"/>
      <c r="L51" s="1"/>
      <c r="M51" s="1"/>
      <c r="N51" s="1"/>
      <c r="O51" s="1"/>
      <c r="R51" s="207" t="s">
        <v>281</v>
      </c>
      <c r="S51" s="207"/>
      <c r="T51" s="207"/>
      <c r="U51" s="17"/>
      <c r="V51" s="17"/>
      <c r="W51" s="121" t="str">
        <f>D43</f>
        <v>h1</v>
      </c>
      <c r="X51" s="191">
        <f>maprop(X43,AD43,X44,X45,AD45,3)</f>
        <v>15.333674891802005</v>
      </c>
      <c r="Y51" s="191"/>
      <c r="Z51" s="17"/>
      <c r="AA51" s="121" t="str">
        <f>M43</f>
        <v>h2</v>
      </c>
      <c r="AB51" s="191">
        <f>maprop(AB43,AD43,AB44,AB45,AD45,3)</f>
        <v>6.9946442371129915</v>
      </c>
      <c r="AC51" s="191"/>
      <c r="AD51" s="17" t="s">
        <v>73</v>
      </c>
      <c r="AE51" s="17"/>
      <c r="AF51" s="17"/>
      <c r="AG51" s="17"/>
      <c r="AJ51" s="29" t="s">
        <v>80</v>
      </c>
      <c r="AK51" s="29"/>
      <c r="AL51" s="187">
        <f>gmconv(AJ43,AJ44,AJ45,AJ46,AJ47,"","","","","",AL43,AL44,AL45,AL46,AL47,0,0,0,0,0,AL42,-1)</f>
        <v>28.735309449267355</v>
      </c>
      <c r="AM51" s="187"/>
      <c r="AN51" s="29"/>
      <c r="AO51" s="32"/>
      <c r="AQ51" s="29" t="s">
        <v>80</v>
      </c>
      <c r="AR51" s="29"/>
      <c r="AS51" s="187">
        <f>gmconv(AQ43,AQ44,AQ45,AQ46,AQ47,"","","","","",AS43,AS44,AS45,AS46,AS47,0,0,0,0,0,AS42,-1)</f>
        <v>28.832043897567836</v>
      </c>
      <c r="AT51" s="187"/>
      <c r="AU51" s="29"/>
      <c r="AV51" s="32"/>
    </row>
    <row r="52" spans="1:48" ht="9.75" customHeight="1">
      <c r="A52" s="1"/>
      <c r="B52" s="1"/>
      <c r="R52" s="208"/>
      <c r="S52" s="208"/>
      <c r="T52" s="208"/>
      <c r="U52" s="68"/>
      <c r="V52" s="68"/>
      <c r="W52" s="68"/>
      <c r="X52" s="191">
        <f>X51*4.1868</f>
        <v>64.19903003699663</v>
      </c>
      <c r="Y52" s="191"/>
      <c r="Z52" s="17"/>
      <c r="AA52" s="17"/>
      <c r="AB52" s="191">
        <f>AB51*4.1868</f>
        <v>29.28517649194467</v>
      </c>
      <c r="AC52" s="191"/>
      <c r="AD52" s="17" t="s">
        <v>288</v>
      </c>
      <c r="AE52" s="17"/>
      <c r="AF52" s="17"/>
      <c r="AG52" s="17"/>
      <c r="AJ52" s="17" t="s">
        <v>77</v>
      </c>
      <c r="AK52" s="17"/>
      <c r="AL52" s="181">
        <f>gmconv(AJ43,AJ44,AJ45,AJ46,AJ47,"","","","","",AL43,AL44,AL45,AL46,AL47,0,0,0,0,0,AL42,-2)</f>
        <v>1.2820347726946868</v>
      </c>
      <c r="AM52" s="181"/>
      <c r="AN52" s="17" t="s">
        <v>278</v>
      </c>
      <c r="AO52" s="17"/>
      <c r="AP52" s="1"/>
      <c r="AQ52" s="17" t="s">
        <v>77</v>
      </c>
      <c r="AR52" s="17"/>
      <c r="AS52" s="181">
        <f>gmconv(AQ43,AQ44,AQ45,AQ46,AQ47,"","","","","",AS43,AS44,AS45,AS46,AS47,0,0,0,0,0,AS42,-2)</f>
        <v>1.2863506102066373</v>
      </c>
      <c r="AT52" s="181"/>
      <c r="AU52" s="17" t="s">
        <v>278</v>
      </c>
      <c r="AV52" s="17"/>
    </row>
    <row r="53" spans="1:48" ht="9.75" customHeight="1">
      <c r="A53" s="6"/>
      <c r="B53" s="6"/>
      <c r="C53" s="66" t="s">
        <v>192</v>
      </c>
      <c r="R53" s="209"/>
      <c r="S53" s="209"/>
      <c r="T53" s="209"/>
      <c r="U53" s="17"/>
      <c r="V53" s="17"/>
      <c r="W53" s="17"/>
      <c r="X53" s="17"/>
      <c r="Y53" s="17"/>
      <c r="Z53" s="17"/>
      <c r="AA53" s="121" t="str">
        <f>J47</f>
        <v>hw</v>
      </c>
      <c r="AB53" s="206">
        <f>IAPWS_IF97(AB45,AD45,AB43,AD43,3)</f>
        <v>10.059884023047854</v>
      </c>
      <c r="AC53" s="206"/>
      <c r="AD53" s="17" t="s">
        <v>284</v>
      </c>
      <c r="AE53" s="17"/>
      <c r="AF53" s="17"/>
      <c r="AG53" s="17"/>
      <c r="AJ53" s="33" t="s">
        <v>81</v>
      </c>
      <c r="AK53" s="33"/>
      <c r="AL53" s="177">
        <f>gmprop(X43,AD43,X45,AD45,AJ43,AJ44,AJ45,AJ46,AJ47,"","","","","",AL43,AL44,AL45,AL46,AL47,0,0,0,0,0,AL42,-4)</f>
        <v>18.446293665589792</v>
      </c>
      <c r="AM53" s="177"/>
      <c r="AN53" s="34" t="s">
        <v>10</v>
      </c>
      <c r="AO53" s="35"/>
      <c r="AP53" s="1"/>
      <c r="AQ53" s="33" t="s">
        <v>81</v>
      </c>
      <c r="AR53" s="33"/>
      <c r="AS53" s="177">
        <f>gmprop(AB43,AD43,AB45,AD45,AQ43,AQ44,AQ45,AQ46,AQ47,"","","","","",AS43,AS44,AS45,AS46,AS47,0,0,0,0,0,AS42,-4)</f>
        <v>10.000003682671831</v>
      </c>
      <c r="AT53" s="177"/>
      <c r="AU53" s="34" t="s">
        <v>10</v>
      </c>
      <c r="AV53" s="35"/>
    </row>
    <row r="54" spans="1:33" ht="9.75" customHeight="1">
      <c r="A54" s="6"/>
      <c r="B54" s="6"/>
      <c r="R54" s="33" t="s">
        <v>259</v>
      </c>
      <c r="S54" s="33"/>
      <c r="T54" s="33"/>
      <c r="U54" s="33"/>
      <c r="V54" s="101" t="str">
        <f>H43</f>
        <v>Q</v>
      </c>
      <c r="W54" s="193">
        <f>E42*((N43-E43)-(AB46-X46)*AB53)</f>
        <v>-160499.41285344632</v>
      </c>
      <c r="X54" s="193"/>
      <c r="Y54" s="193"/>
      <c r="Z54" s="193" t="s">
        <v>179</v>
      </c>
      <c r="AA54" s="193"/>
      <c r="AB54" s="192">
        <f>W54/860</f>
        <v>-186.6272242481934</v>
      </c>
      <c r="AC54" s="192"/>
      <c r="AD54" s="33" t="s">
        <v>180</v>
      </c>
      <c r="AE54" s="33"/>
      <c r="AF54" s="33"/>
      <c r="AG54" s="33"/>
    </row>
    <row r="55" spans="1:48" ht="9.75" customHeight="1">
      <c r="A55" s="6"/>
      <c r="B55" s="6"/>
      <c r="C55" s="6"/>
      <c r="D55" s="67" t="str">
        <f>D42</f>
        <v>ma</v>
      </c>
      <c r="E55" s="67" t="str">
        <f>D43</f>
        <v>h1</v>
      </c>
      <c r="F55" s="67" t="s">
        <v>265</v>
      </c>
      <c r="G55" s="67" t="str">
        <f>M42</f>
        <v>ma</v>
      </c>
      <c r="H55" s="67" t="str">
        <f>M43</f>
        <v>h2</v>
      </c>
      <c r="I55" s="67" t="s">
        <v>266</v>
      </c>
      <c r="J55" s="67" t="str">
        <f>H43</f>
        <v>Q</v>
      </c>
      <c r="K55" s="67" t="s">
        <v>266</v>
      </c>
      <c r="L55" s="67" t="str">
        <f>J46</f>
        <v>mw</v>
      </c>
      <c r="M55" s="67" t="str">
        <f>J47</f>
        <v>hw</v>
      </c>
      <c r="N55" s="6"/>
      <c r="O55" s="6"/>
      <c r="P55" s="6"/>
      <c r="Q55" s="6"/>
      <c r="R55" s="1"/>
      <c r="Z55" s="6"/>
      <c r="AJ55" s="17" t="s">
        <v>77</v>
      </c>
      <c r="AK55" s="17"/>
      <c r="AL55" s="180">
        <f>gmprop(X43,AD43,X45,AD45,AJ43,AJ44,AJ45,AJ46,AJ47,"","","","","",AL43,AL44,AL45,AL46,AL47,0,0,0,0,0,AL42,2)</f>
        <v>1.1551634443726</v>
      </c>
      <c r="AM55" s="180"/>
      <c r="AN55" s="17" t="s">
        <v>78</v>
      </c>
      <c r="AO55" s="1"/>
      <c r="AQ55" s="17" t="s">
        <v>77</v>
      </c>
      <c r="AR55" s="17"/>
      <c r="AS55" s="180">
        <f>gmprop(AB43,AD43,AB45,AD45,AQ43,AQ44,AQ45,AQ46,AQ47,"","","","","",AS43,AS44,AS45,AS46,AS47,0,0,0,0,0,AS42,2)</f>
        <v>1.2409206045486245</v>
      </c>
      <c r="AT55" s="180"/>
      <c r="AU55" s="17" t="s">
        <v>78</v>
      </c>
      <c r="AV55" s="1"/>
    </row>
    <row r="56" spans="1:48" ht="9.75" customHeight="1">
      <c r="A56" s="1"/>
      <c r="B56" s="1"/>
      <c r="C56" s="6"/>
      <c r="D56" s="67" t="str">
        <f>D55</f>
        <v>ma</v>
      </c>
      <c r="E56" s="67" t="str">
        <f>D44</f>
        <v>W1</v>
      </c>
      <c r="F56" s="67" t="s">
        <v>265</v>
      </c>
      <c r="G56" s="67" t="str">
        <f>G55</f>
        <v>ma</v>
      </c>
      <c r="H56" s="67" t="str">
        <f>M44</f>
        <v>W2</v>
      </c>
      <c r="I56" s="6"/>
      <c r="J56" s="6"/>
      <c r="K56" s="67" t="s">
        <v>266</v>
      </c>
      <c r="L56" s="67" t="str">
        <f>L55</f>
        <v>mw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Z56" s="1"/>
      <c r="AD56" s="75"/>
      <c r="AJ56" s="69" t="s">
        <v>71</v>
      </c>
      <c r="AK56" s="17"/>
      <c r="AL56" s="199">
        <f>IF(AD42="kg/h",X42,IF(AD42="m3/h",X42*AL55,IF(AD42="Nm3/h",X42*AL52)))</f>
        <v>19637.7785543342</v>
      </c>
      <c r="AM56" s="199"/>
      <c r="AN56" s="70" t="s">
        <v>43</v>
      </c>
      <c r="AO56" s="1"/>
      <c r="AQ56" s="69" t="s">
        <v>71</v>
      </c>
      <c r="AR56" s="17"/>
      <c r="AS56" s="212">
        <f>AL56-AB50</f>
        <v>19527.676311775587</v>
      </c>
      <c r="AT56" s="212"/>
      <c r="AU56" s="70" t="s">
        <v>43</v>
      </c>
      <c r="AV56" s="1"/>
    </row>
    <row r="57" spans="1:43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Z57" s="6"/>
      <c r="AO57" s="1"/>
      <c r="AP57" s="1"/>
      <c r="AQ57" s="1"/>
    </row>
    <row r="58" spans="1:46" ht="9.75" customHeight="1">
      <c r="A58" s="1"/>
      <c r="B58" s="1"/>
      <c r="C58" s="124" t="s">
        <v>267</v>
      </c>
      <c r="D58" s="7" t="str">
        <f>L56</f>
        <v>mw</v>
      </c>
      <c r="E58" s="7" t="s">
        <v>265</v>
      </c>
      <c r="F58" s="7" t="str">
        <f>D56</f>
        <v>ma</v>
      </c>
      <c r="G58" s="7" t="s">
        <v>268</v>
      </c>
      <c r="H58" s="7" t="str">
        <f>E56</f>
        <v>W1</v>
      </c>
      <c r="I58" s="7" t="s">
        <v>269</v>
      </c>
      <c r="J58" s="7" t="str">
        <f>H56</f>
        <v>W2</v>
      </c>
      <c r="K58" s="7" t="s">
        <v>270</v>
      </c>
      <c r="N58" s="1"/>
      <c r="O58" s="1"/>
      <c r="P58" s="1"/>
      <c r="Q58" s="1"/>
      <c r="R58" s="1"/>
      <c r="S58" s="1"/>
      <c r="T58" s="1"/>
      <c r="U58" s="1"/>
      <c r="Z58" s="1"/>
      <c r="AE58" s="1"/>
      <c r="AQ58" s="127" t="str">
        <f>R44</f>
        <v>Relative Humidity</v>
      </c>
      <c r="AS58" s="213">
        <f>gmprop(AB43,AD43,AB45,AD45,AQ43,AQ44,AQ45,AQ46,AQ47,"","","","","",AS43,AS44,AS45,AS46,AS47,0,0,0,0,0,AS42,-3)</f>
        <v>100.00002467602953</v>
      </c>
      <c r="AT58" s="213"/>
    </row>
    <row r="59" spans="1:46" ht="9.75" customHeight="1">
      <c r="A59" s="6"/>
      <c r="B59" s="6"/>
      <c r="C59" s="1"/>
      <c r="D59" s="7" t="str">
        <f>J55</f>
        <v>Q</v>
      </c>
      <c r="E59" s="7" t="s">
        <v>265</v>
      </c>
      <c r="F59" s="7" t="str">
        <f>D55</f>
        <v>ma</v>
      </c>
      <c r="G59" s="7" t="s">
        <v>271</v>
      </c>
      <c r="H59" s="67" t="s">
        <v>268</v>
      </c>
      <c r="I59" s="7" t="str">
        <f>E55</f>
        <v>h1</v>
      </c>
      <c r="J59" s="7" t="s">
        <v>269</v>
      </c>
      <c r="K59" s="7" t="str">
        <f>H55</f>
        <v>h2</v>
      </c>
      <c r="L59" s="7" t="s">
        <v>270</v>
      </c>
      <c r="M59" s="7" t="s">
        <v>296</v>
      </c>
      <c r="N59" s="7" t="s">
        <v>268</v>
      </c>
      <c r="O59" s="67" t="str">
        <f>E56</f>
        <v>W1</v>
      </c>
      <c r="P59" s="67" t="s">
        <v>269</v>
      </c>
      <c r="Q59" s="67" t="str">
        <f>H56</f>
        <v>W2</v>
      </c>
      <c r="R59" s="67" t="s">
        <v>283</v>
      </c>
      <c r="S59" s="67" t="str">
        <f>J47</f>
        <v>hw</v>
      </c>
      <c r="T59" s="67" t="s">
        <v>272</v>
      </c>
      <c r="Z59" s="6"/>
      <c r="AE59" s="1"/>
      <c r="AQ59" s="127" t="str">
        <f>AA46</f>
        <v>W2</v>
      </c>
      <c r="AS59" s="214">
        <f>gmprop(AB43,AD43,AB45,AD45,AQ43,AQ44,AQ45,AQ46,AQ47,"","","","","",AS43,AS44,AS45,AS46,AS47,0,0,0,0,0,AS42,100)</f>
        <v>0.007631545306545189</v>
      </c>
      <c r="AT59" s="214"/>
    </row>
    <row r="60" spans="1:31" ht="9.75" customHeight="1">
      <c r="A60" s="1"/>
      <c r="B60" s="1"/>
      <c r="Z60" s="1"/>
      <c r="AE60" s="1"/>
    </row>
    <row r="61" spans="1:31" ht="9.75" customHeight="1">
      <c r="A61" s="1"/>
      <c r="B61" s="1"/>
      <c r="Z61" s="1"/>
      <c r="AE61" s="1"/>
    </row>
    <row r="62" spans="1:31" ht="9.75" customHeight="1">
      <c r="A62" s="1"/>
      <c r="B62" s="1"/>
      <c r="C62" s="1"/>
      <c r="AE62" s="1"/>
    </row>
    <row r="63" spans="1:31" ht="9.75" customHeight="1">
      <c r="A63" s="6"/>
      <c r="B63" s="6"/>
      <c r="C63" s="6"/>
      <c r="AE63" s="1"/>
    </row>
    <row r="64" spans="1:31" ht="9.75" customHeight="1">
      <c r="A64" s="6"/>
      <c r="B64" s="6"/>
      <c r="C64" s="6"/>
      <c r="AE64" s="1"/>
    </row>
    <row r="65" spans="1:31" ht="9.75" customHeight="1">
      <c r="A65" s="6"/>
      <c r="B65" s="6"/>
      <c r="C65" s="6"/>
      <c r="AE65" s="1"/>
    </row>
    <row r="66" spans="1:31" ht="9.75" customHeight="1">
      <c r="A66" s="6"/>
      <c r="B66" s="6"/>
      <c r="C66" s="6"/>
      <c r="AE66" s="1"/>
    </row>
    <row r="67" spans="1:31" ht="9.75" customHeight="1">
      <c r="A67" s="6"/>
      <c r="B67" s="6"/>
      <c r="C67" s="6"/>
      <c r="AE67" s="1"/>
    </row>
    <row r="68" spans="1:31" ht="9.75" customHeight="1">
      <c r="A68" s="1"/>
      <c r="B68" s="1"/>
      <c r="C68" s="1"/>
      <c r="AE68" s="1"/>
    </row>
    <row r="69" spans="1:31" ht="9.75" customHeight="1">
      <c r="A69" s="1"/>
      <c r="B69" s="1"/>
      <c r="C69" s="1"/>
      <c r="AE69" s="1"/>
    </row>
    <row r="70" spans="1:31" ht="9.75" customHeight="1">
      <c r="A70" s="1"/>
      <c r="B70" s="1"/>
      <c r="C70" s="1"/>
      <c r="AE70" s="1"/>
    </row>
    <row r="71" spans="1:31" ht="9.75" customHeight="1">
      <c r="A71" s="6"/>
      <c r="B71" s="6"/>
      <c r="C71" s="6"/>
      <c r="AE71" s="1"/>
    </row>
    <row r="72" spans="1:31" ht="9.75" customHeight="1">
      <c r="A72" s="1"/>
      <c r="B72" s="1"/>
      <c r="C72" s="1"/>
      <c r="AE72" s="1"/>
    </row>
    <row r="73" spans="1:31" ht="9.75" customHeight="1">
      <c r="A73" s="6"/>
      <c r="B73" s="6"/>
      <c r="C73" s="6"/>
      <c r="D73" s="1"/>
      <c r="AE73" s="1"/>
    </row>
    <row r="74" spans="1:31" ht="9.75" customHeight="1">
      <c r="A74" s="6"/>
      <c r="B74" s="6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E74" s="1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95">
    <mergeCell ref="AS55:AT55"/>
    <mergeCell ref="AS56:AT56"/>
    <mergeCell ref="AS58:AT58"/>
    <mergeCell ref="AS59:AT59"/>
    <mergeCell ref="AS44:AT44"/>
    <mergeCell ref="AU44:AV44"/>
    <mergeCell ref="AS45:AT45"/>
    <mergeCell ref="AU45:AV45"/>
    <mergeCell ref="AS42:AT42"/>
    <mergeCell ref="AU42:AV42"/>
    <mergeCell ref="AS43:AT43"/>
    <mergeCell ref="AU43:AV43"/>
    <mergeCell ref="AS53:AT53"/>
    <mergeCell ref="R49:T50"/>
    <mergeCell ref="AB50:AC50"/>
    <mergeCell ref="AB53:AC53"/>
    <mergeCell ref="AS50:AT50"/>
    <mergeCell ref="X49:Y49"/>
    <mergeCell ref="AB49:AC49"/>
    <mergeCell ref="X51:Y51"/>
    <mergeCell ref="AB51:AC51"/>
    <mergeCell ref="R51:T53"/>
    <mergeCell ref="AU50:AV50"/>
    <mergeCell ref="AS51:AT51"/>
    <mergeCell ref="AS52:AT52"/>
    <mergeCell ref="AS48:AT48"/>
    <mergeCell ref="AU48:AV48"/>
    <mergeCell ref="AS49:AT49"/>
    <mergeCell ref="AU49:AV49"/>
    <mergeCell ref="AS46:AT46"/>
    <mergeCell ref="AU46:AV46"/>
    <mergeCell ref="AS47:AT47"/>
    <mergeCell ref="AU47:AV47"/>
    <mergeCell ref="AL55:AM55"/>
    <mergeCell ref="W54:Y54"/>
    <mergeCell ref="AB54:AC54"/>
    <mergeCell ref="J47:K47"/>
    <mergeCell ref="AB47:AC47"/>
    <mergeCell ref="X48:Y48"/>
    <mergeCell ref="AL53:AM53"/>
    <mergeCell ref="AB48:AC48"/>
    <mergeCell ref="L47:M47"/>
    <mergeCell ref="Z54:AA54"/>
    <mergeCell ref="N44:O44"/>
    <mergeCell ref="X43:Y43"/>
    <mergeCell ref="X44:Y44"/>
    <mergeCell ref="J46:K46"/>
    <mergeCell ref="J44:K44"/>
    <mergeCell ref="L46:M46"/>
    <mergeCell ref="X45:Y45"/>
    <mergeCell ref="AL48:AM48"/>
    <mergeCell ref="AL49:AM49"/>
    <mergeCell ref="AL50:AM50"/>
    <mergeCell ref="E42:F42"/>
    <mergeCell ref="E43:F43"/>
    <mergeCell ref="E44:F44"/>
    <mergeCell ref="X47:Y47"/>
    <mergeCell ref="X46:Y46"/>
    <mergeCell ref="N42:O42"/>
    <mergeCell ref="N43:O43"/>
    <mergeCell ref="AL42:AM42"/>
    <mergeCell ref="AL43:AM43"/>
    <mergeCell ref="AL44:AM44"/>
    <mergeCell ref="AL45:AM45"/>
    <mergeCell ref="AN42:AO42"/>
    <mergeCell ref="AN43:AO43"/>
    <mergeCell ref="AN44:AO44"/>
    <mergeCell ref="AN48:AO48"/>
    <mergeCell ref="AL56:AM56"/>
    <mergeCell ref="AN45:AO45"/>
    <mergeCell ref="AN46:AO46"/>
    <mergeCell ref="AN47:AO47"/>
    <mergeCell ref="AN50:AO50"/>
    <mergeCell ref="AL52:AM52"/>
    <mergeCell ref="AL46:AM46"/>
    <mergeCell ref="AL47:AM47"/>
    <mergeCell ref="AN49:AO49"/>
    <mergeCell ref="AL51:AM51"/>
    <mergeCell ref="D40:F40"/>
    <mergeCell ref="X41:Y41"/>
    <mergeCell ref="AB41:AC41"/>
    <mergeCell ref="M40:O40"/>
    <mergeCell ref="R40:AG40"/>
    <mergeCell ref="AC1:AH1"/>
    <mergeCell ref="A2:X4"/>
    <mergeCell ref="AC2:AH2"/>
    <mergeCell ref="AE4:AF4"/>
    <mergeCell ref="X52:Y52"/>
    <mergeCell ref="AB52:AC52"/>
    <mergeCell ref="X42:Y42"/>
    <mergeCell ref="AB42:AC42"/>
    <mergeCell ref="AB46:AC46"/>
    <mergeCell ref="AB45:AC45"/>
    <mergeCell ref="AB43:AC43"/>
    <mergeCell ref="AB44:AC4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BH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34" width="2.3359375" style="2" customWidth="1"/>
    <col min="35" max="35" width="4.77734375" style="2" customWidth="1"/>
    <col min="36" max="63" width="4.3359375" style="2" customWidth="1"/>
    <col min="64" max="16384" width="8.88671875" style="2" customWidth="1"/>
  </cols>
  <sheetData>
    <row r="1" spans="1:34" ht="9.75" customHeight="1">
      <c r="A1" s="77"/>
      <c r="B1" s="103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104" t="s">
        <v>245</v>
      </c>
      <c r="Z1" s="105"/>
      <c r="AA1" s="106"/>
      <c r="AB1" s="105"/>
      <c r="AC1" s="173" t="str">
        <f>docno</f>
        <v>TM - PSY - 200</v>
      </c>
      <c r="AD1" s="164"/>
      <c r="AE1" s="164"/>
      <c r="AF1" s="164"/>
      <c r="AG1" s="164"/>
      <c r="AH1" s="164"/>
    </row>
    <row r="2" spans="1:34" ht="9.75" customHeight="1">
      <c r="A2" s="167" t="str">
        <f>title</f>
        <v>P S Y C H R O M E T R I C S   :     P R O C E S S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/>
      <c r="Y2" s="107" t="s">
        <v>235</v>
      </c>
      <c r="Z2" s="17"/>
      <c r="AA2" s="108"/>
      <c r="AB2" s="17"/>
      <c r="AC2" s="174" t="s">
        <v>236</v>
      </c>
      <c r="AD2" s="165"/>
      <c r="AE2" s="165"/>
      <c r="AF2" s="165"/>
      <c r="AG2" s="165"/>
      <c r="AH2" s="165"/>
    </row>
    <row r="3" spans="1:34" ht="9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09" t="s">
        <v>237</v>
      </c>
      <c r="Z3" s="68"/>
      <c r="AA3" s="68"/>
      <c r="AB3" s="68"/>
      <c r="AC3" s="110">
        <v>0</v>
      </c>
      <c r="AD3" s="111">
        <v>1</v>
      </c>
      <c r="AE3" s="111"/>
      <c r="AF3" s="111"/>
      <c r="AG3" s="111"/>
      <c r="AH3" s="112"/>
    </row>
    <row r="4" spans="1:34" ht="9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13" t="s">
        <v>238</v>
      </c>
      <c r="Z4" s="114"/>
      <c r="AA4" s="115"/>
      <c r="AB4" s="114"/>
      <c r="AC4" s="116"/>
      <c r="AD4" s="117">
        <v>4</v>
      </c>
      <c r="AE4" s="171" t="s">
        <v>239</v>
      </c>
      <c r="AF4" s="171"/>
      <c r="AG4" s="120">
        <f>sheetqty</f>
        <v>5</v>
      </c>
      <c r="AH4" s="119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4" ht="9.75" customHeight="1">
      <c r="A6" s="6"/>
      <c r="B6" s="1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AH6" s="3"/>
    </row>
    <row r="7" spans="1:31" ht="9.75" customHeight="1">
      <c r="A7" s="1"/>
      <c r="B7" s="1"/>
      <c r="C7" s="1"/>
      <c r="AE7" s="1"/>
    </row>
    <row r="8" spans="1:33" ht="9.75" customHeight="1">
      <c r="A8" s="6"/>
      <c r="B8" s="6"/>
      <c r="C8" s="11" t="s">
        <v>183</v>
      </c>
      <c r="D8" s="14" t="s">
        <v>145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6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C10" s="3"/>
      <c r="AJ10" s="1"/>
      <c r="AK10" s="1"/>
      <c r="AL10" s="1"/>
      <c r="AM10" s="1"/>
      <c r="AN10" s="1"/>
      <c r="AO10" s="1"/>
      <c r="AP10" s="1"/>
      <c r="AQ10" s="1"/>
      <c r="AR10" s="1"/>
      <c r="AS10" s="8" t="s">
        <v>117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H10" s="1"/>
    </row>
    <row r="11" spans="1:6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  <c r="AJ11" s="23" t="s">
        <v>118</v>
      </c>
      <c r="AK11" s="137" t="str">
        <f>"Rh "&amp;AJ12&amp;" %"</f>
        <v>Rh 100 %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H11" s="1"/>
    </row>
    <row r="12" spans="1:60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  <c r="AJ12" s="20">
        <v>100</v>
      </c>
      <c r="AK12" s="36">
        <f>maprop(AK33,AO34,AJ12,AM35,AO35,8)</f>
        <v>0.0037749258179982426</v>
      </c>
      <c r="AL12" s="37">
        <f>maprop(AL33,AO34,AJ12,AM35,AO35,8)</f>
        <v>0.004134324540006342</v>
      </c>
      <c r="AM12" s="37">
        <f>maprop(AM33,AO34,AJ12,AM35,AO35,8)</f>
        <v>0.004523976709793002</v>
      </c>
      <c r="AN12" s="38">
        <f>maprop(AN33,AO34,AJ12,AM35,AO35,8)</f>
        <v>0.004946102080706669</v>
      </c>
      <c r="AO12" s="36">
        <f>maprop(AO33,AO34,AJ12,AM35,AO35,8)</f>
        <v>0.0054030621299494775</v>
      </c>
      <c r="AP12" s="37">
        <f>maprop(AP33,AO34,AJ12,AM35,AO35,8)</f>
        <v>0.005897368427675345</v>
      </c>
      <c r="AQ12" s="37">
        <f>maprop(AQ33,AO34,AJ12,AM35,AO35,8)</f>
        <v>0.006431691578041192</v>
      </c>
      <c r="AR12" s="39">
        <f>maprop(AR33,AO34,AJ12,AM35,AO35,8)</f>
        <v>0.007008870788759474</v>
      </c>
      <c r="AS12" s="40">
        <f>maprop(AS33,AO34,AJ12,AM35,AO35,8)</f>
        <v>0.007631924132593315</v>
      </c>
      <c r="AT12" s="37">
        <f>maprop(AT33,AO34,AJ12,AM35,AO35,8)</f>
        <v>0.008304059572022697</v>
      </c>
      <c r="AU12" s="37">
        <f>maprop(AU33,AO34,AJ12,AM35,AO35,8)</f>
        <v>0.009028686827078481</v>
      </c>
      <c r="AV12" s="38">
        <f>maprop(AV33,AO34,AJ12,AM35,AO35,8)</f>
        <v>0.009809430176256366</v>
      </c>
      <c r="AW12" s="36">
        <f>maprop(AW33,AO34,AJ12,AM35,AO35,8)</f>
        <v>0.010650142291628919</v>
      </c>
      <c r="AX12" s="37">
        <f>maprop(AX33,AO34,AJ12,AM35,AO35,8)</f>
        <v>0.011554919221974628</v>
      </c>
      <c r="AY12" s="37">
        <f>maprop(AY33,AO34,AJ12,AM35,AO35,8)</f>
        <v>0.01252811665213746</v>
      </c>
      <c r="AZ12" s="39">
        <f>maprop(AZ33,AO34,AJ12,AM35,AO35,8)</f>
        <v>0.013574367583201772</v>
      </c>
      <c r="BA12" s="40">
        <f>maprop(BA33,AO34,AJ12,AM35,AO35,8)</f>
        <v>0.014698601596691783</v>
      </c>
      <c r="BB12" s="37">
        <f>maprop(BB33,AO34,AJ12,AM35,AO35,8)</f>
        <v>0.015906065887256356</v>
      </c>
      <c r="BC12" s="37">
        <f>maprop(BC33,AO34,AJ12,AM35,AO35,8)</f>
        <v>0.01720234827258112</v>
      </c>
      <c r="BD12" s="38">
        <f>maprop(BD33,AO34,AJ12,AM35,AO35,8)</f>
        <v>0.018593402417089677</v>
      </c>
      <c r="BE12" s="41">
        <f>maprop(BE33,AO34,AJ12,AM35,AO35,8)</f>
        <v>0.020085575537918017</v>
      </c>
      <c r="BH12" s="1"/>
    </row>
    <row r="13" spans="1:60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  <c r="AJ13" s="16">
        <f>AJ32+(AJ12-AJ32)/20*19</f>
        <v>95</v>
      </c>
      <c r="AK13" s="42">
        <f>maprop(AK33,AO34,AJ13,AM35,AO35,8)</f>
        <v>0.003585091585384782</v>
      </c>
      <c r="AL13" s="43">
        <f>maprop(AL33,AO34,AJ13,AM35,AO35,8)</f>
        <v>0.003926303388544036</v>
      </c>
      <c r="AM13" s="43">
        <f>maprop(AM33,AO34,AJ13,AM35,AO35,8)</f>
        <v>0.0042962154342495356</v>
      </c>
      <c r="AN13" s="44">
        <f>maprop(AN33,AO34,AJ13,AM35,AO35,8)</f>
        <v>0.004696929418829099</v>
      </c>
      <c r="AO13" s="42">
        <f>maprop(AO33,AO34,AJ13,AM35,AO35,8)</f>
        <v>0.005130680527307441</v>
      </c>
      <c r="AP13" s="43">
        <f>maprop(AP33,AO34,AJ13,AM35,AO35,8)</f>
        <v>0.0055998452097991295</v>
      </c>
      <c r="AQ13" s="43">
        <f>maprop(AQ33,AO34,AJ13,AM35,AO35,8)</f>
        <v>0.00610694947637956</v>
      </c>
      <c r="AR13" s="45">
        <f>maprop(AR33,AO34,AJ13,AM35,AO35,8)</f>
        <v>0.006654677760730409</v>
      </c>
      <c r="AS13" s="46">
        <f>maprop(AS33,AO34,AJ13,AM35,AO35,8)</f>
        <v>0.007245882408931213</v>
      </c>
      <c r="AT13" s="43">
        <f>maprop(AT33,AO34,AJ13,AM35,AO35,8)</f>
        <v>0.00788359385661956</v>
      </c>
      <c r="AU13" s="43">
        <f>maprop(AU33,AO34,AJ13,AM35,AO35,8)</f>
        <v>0.008571031565444195</v>
      </c>
      <c r="AV13" s="44">
        <f>maprop(AV33,AO34,AJ13,AM35,AO35,8)</f>
        <v>0.009311615798431089</v>
      </c>
      <c r="AW13" s="42">
        <f>maprop(AW33,AO34,AJ13,AM35,AO35,8)</f>
        <v>0.010108980323691827</v>
      </c>
      <c r="AX13" s="43">
        <f>maprop(AX33,AO34,AJ13,AM35,AO35,8)</f>
        <v>0.01096698614699879</v>
      </c>
      <c r="AY13" s="43">
        <f>maprop(AY33,AO34,AJ13,AM35,AO35,8)</f>
        <v>0.011889736386302675</v>
      </c>
      <c r="AZ13" s="45">
        <f>maprop(AZ33,AO34,AJ13,AM35,AO35,8)</f>
        <v>0.01288159241551465</v>
      </c>
      <c r="BA13" s="46">
        <f>maprop(BA33,AO34,AJ13,AM35,AO35,8)</f>
        <v>0.013947191421040365</v>
      </c>
      <c r="BB13" s="43">
        <f>maprop(BB33,AO34,AJ13,AM35,AO35,8)</f>
        <v>0.01509146553296505</v>
      </c>
      <c r="BC13" s="43">
        <f>maprop(BC33,AO34,AJ13,AM35,AO35,8)</f>
        <v>0.01631966271376752</v>
      </c>
      <c r="BD13" s="44">
        <f>maprop(BD33,AO34,AJ13,AM35,AO35,8)</f>
        <v>0.017637369611424824</v>
      </c>
      <c r="BE13" s="47">
        <f>maprop(BE33,AO34,AJ13,AM35,AO35,8)</f>
        <v>0.01905053661121275</v>
      </c>
      <c r="BH13" s="1"/>
    </row>
    <row r="14" spans="1:60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AC14" s="3"/>
      <c r="AJ14" s="16">
        <f>AJ32+(AJ12-AJ32)/20*18</f>
        <v>90</v>
      </c>
      <c r="AK14" s="48">
        <f>maprop(AK33,AO34,AJ14,AM35,AO35,8)</f>
        <v>0.003395372498119332</v>
      </c>
      <c r="AL14" s="49">
        <f>maprop(AL33,AO34,AJ14,AM35,AO35,8)</f>
        <v>0.003718420418748263</v>
      </c>
      <c r="AM14" s="49">
        <f>maprop(AM33,AO34,AJ14,AM35,AO35,8)</f>
        <v>0.004068619701935307</v>
      </c>
      <c r="AN14" s="50">
        <f>maprop(AN33,AO34,AJ14,AM35,AO35,8)</f>
        <v>0.004447954747833604</v>
      </c>
      <c r="AO14" s="48">
        <f>maprop(AO33,AO34,AJ14,AM35,AO35,8)</f>
        <v>0.004858535335608125</v>
      </c>
      <c r="AP14" s="49">
        <f>maprop(AP33,AO34,AJ14,AM35,AO35,8)</f>
        <v>0.005302603826635084</v>
      </c>
      <c r="AQ14" s="49">
        <f>maprop(AQ33,AO34,AJ14,AM35,AO35,8)</f>
        <v>0.005782542835607384</v>
      </c>
      <c r="AR14" s="51">
        <f>maprop(AR33,AO34,AJ14,AM35,AO35,8)</f>
        <v>0.006300883414024111</v>
      </c>
      <c r="AS14" s="52">
        <f>maprop(AS33,AO34,AJ14,AM35,AO35,8)</f>
        <v>0.006860313795855198</v>
      </c>
      <c r="AT14" s="49">
        <f>maprop(AT33,AO34,AJ14,AM35,AO35,8)</f>
        <v>0.007463688761167015</v>
      </c>
      <c r="AU14" s="49">
        <f>maprop(AU33,AO34,AJ14,AM35,AO35,8)</f>
        <v>0.008114039680222533</v>
      </c>
      <c r="AV14" s="50">
        <f>maprop(AV33,AO34,AJ14,AM35,AO35,8)</f>
        <v>0.008814585308142366</v>
      </c>
      <c r="AW14" s="48">
        <f>maprop(AW33,AO34,AJ14,AM35,AO35,8)</f>
        <v>0.009568743408752444</v>
      </c>
      <c r="AX14" s="49">
        <f>maprop(AX33,AO34,AJ14,AM35,AO35,8)</f>
        <v>0.010380143295877022</v>
      </c>
      <c r="AY14" s="49">
        <f>maprop(AY33,AO34,AJ14,AM35,AO35,8)</f>
        <v>0.011252639391211598</v>
      </c>
      <c r="AZ14" s="51">
        <f>maprop(AZ33,AO34,AJ14,AM35,AO35,8)</f>
        <v>0.012190325910229996</v>
      </c>
      <c r="BA14" s="52">
        <f>maprop(BA33,AO34,AJ14,AM35,AO35,8)</f>
        <v>0.013197552801526038</v>
      </c>
      <c r="BB14" s="49">
        <f>maprop(BB33,AO34,AJ14,AM35,AO35,8)</f>
        <v>0.014278943080838736</v>
      </c>
      <c r="BC14" s="49">
        <f>maprop(BC33,AO34,AJ14,AM35,AO35,8)</f>
        <v>0.015439411719025084</v>
      </c>
      <c r="BD14" s="50">
        <f>maprop(BD33,AO34,AJ14,AM35,AO35,8)</f>
        <v>0.016684186263781663</v>
      </c>
      <c r="BE14" s="53">
        <f>maprop(BE33,AO34,AJ14,AM35,AO35,8)</f>
        <v>0.0180188293983667</v>
      </c>
      <c r="BH14" s="1"/>
    </row>
    <row r="15" spans="1:60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"/>
      <c r="W15" s="3"/>
      <c r="X15" s="3"/>
      <c r="Y15" s="3"/>
      <c r="Z15" s="3"/>
      <c r="AA15" s="3"/>
      <c r="AB15" s="3"/>
      <c r="AC15" s="3"/>
      <c r="AJ15" s="16">
        <f>AJ32+(AJ12-AJ32)/20*17</f>
        <v>85</v>
      </c>
      <c r="AK15" s="48">
        <f>maprop(AK33,AO34,AJ15,AM35,AO35,8)</f>
        <v>0.00320576845147</v>
      </c>
      <c r="AL15" s="49">
        <f>maprop(AL33,AO34,AJ15,AM35,AO35,8)</f>
        <v>0.0035106754929801046</v>
      </c>
      <c r="AM15" s="49">
        <f>maprop(AM33,AO34,AJ15,AM35,AO35,8)</f>
        <v>0.0038411893324338795</v>
      </c>
      <c r="AN15" s="50">
        <f>maprop(AN33,AO34,AJ15,AM35,AO35,8)</f>
        <v>0.004199177831830613</v>
      </c>
      <c r="AO15" s="48">
        <f>maprop(AO33,AO34,AJ15,AM35,AO35,8)</f>
        <v>0.004586626247199471</v>
      </c>
      <c r="AP15" s="49">
        <f>maprop(AP33,AO34,AJ15,AM35,AO35,8)</f>
        <v>0.005005643877912452</v>
      </c>
      <c r="AQ15" s="49">
        <f>maprop(AQ33,AO34,AJ15,AM35,AO35,8)</f>
        <v>0.00545847113619266</v>
      </c>
      <c r="AR15" s="51">
        <f>maprop(AR33,AO34,AJ15,AM35,AO35,8)</f>
        <v>0.005947487075883155</v>
      </c>
      <c r="AS15" s="52">
        <f>maprop(AS33,AO34,AJ15,AM35,AO35,8)</f>
        <v>0.006475217424172107</v>
      </c>
      <c r="AT15" s="49">
        <f>maprop(AT33,AO34,AJ15,AM35,AO35,8)</f>
        <v>0.00704434316517416</v>
      </c>
      <c r="AU15" s="49">
        <f>maprop(AU33,AO34,AJ15,AM35,AO35,8)</f>
        <v>0.007657709730100951</v>
      </c>
      <c r="AV15" s="50">
        <f>maprop(AV33,AO34,AJ15,AM35,AO35,8)</f>
        <v>0.008318336855314573</v>
      </c>
      <c r="AW15" s="48">
        <f>maprop(AW33,AO34,AJ15,AM35,AO35,8)</f>
        <v>0.00902942917693166</v>
      </c>
      <c r="AX15" s="49">
        <f>maprop(AX33,AO34,AJ15,AM35,AO35,8)</f>
        <v>0.00979438763896065</v>
      </c>
      <c r="AY15" s="49">
        <f>maprop(AY33,AO34,AJ15,AM35,AO35,8)</f>
        <v>0.010616821801307033</v>
      </c>
      <c r="AZ15" s="51">
        <f>maprop(AZ33,AO34,AJ15,AM35,AO35,8)</f>
        <v>0.011500563144567495</v>
      </c>
      <c r="BA15" s="52">
        <f>maprop(BA33,AO34,AJ15,AM35,AO35,8)</f>
        <v>0.012449679480482636</v>
      </c>
      <c r="BB15" s="49">
        <f>maprop(BB33,AO34,AJ15,AM35,AO35,8)</f>
        <v>0.01346849059046053</v>
      </c>
      <c r="BC15" s="49">
        <f>maprop(BC33,AO34,AJ15,AM35,AO35,8)</f>
        <v>0.01456158522994802</v>
      </c>
      <c r="BD15" s="50">
        <f>maprop(BD33,AO34,AJ15,AM35,AO35,8)</f>
        <v>0.015733839653891968</v>
      </c>
      <c r="BE15" s="53">
        <f>maprop(BE33,AO34,AJ15,AM35,AO35,8)</f>
        <v>0.016990437838418134</v>
      </c>
      <c r="BH15" s="1"/>
    </row>
    <row r="16" spans="1:60" ht="9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3"/>
      <c r="W16" s="3"/>
      <c r="X16" s="3"/>
      <c r="Y16" s="3"/>
      <c r="Z16" s="3"/>
      <c r="AA16" s="3"/>
      <c r="AB16" s="3"/>
      <c r="AC16" s="3"/>
      <c r="AJ16" s="16">
        <f>AJ32+(AJ12-AJ32)/20*16</f>
        <v>80</v>
      </c>
      <c r="AK16" s="36">
        <f>maprop(AK33,AO34,AJ16,AM35,AO35,8)</f>
        <v>0.0030162793408324085</v>
      </c>
      <c r="AL16" s="37">
        <f>maprop(AL33,AO34,AJ16,AM35,AO35,8)</f>
        <v>0.0033030684737839215</v>
      </c>
      <c r="AM16" s="37">
        <f>maprop(AM33,AO34,AJ16,AM35,AO35,8)</f>
        <v>0.0036139241455904894</v>
      </c>
      <c r="AN16" s="38">
        <f>maprop(AN33,AO34,AJ16,AM35,AO35,8)</f>
        <v>0.003950598435305131</v>
      </c>
      <c r="AO16" s="36">
        <f>maprop(AO33,AO34,AJ16,AM35,AO35,8)</f>
        <v>0.004314952954962464</v>
      </c>
      <c r="AP16" s="37">
        <f>maprop(AP33,AO34,AJ16,AM35,AO35,8)</f>
        <v>0.0047089649641184955</v>
      </c>
      <c r="AQ16" s="37">
        <f>maprop(AQ33,AO34,AJ16,AM35,AO35,8)</f>
        <v>0.005134733859676041</v>
      </c>
      <c r="AR16" s="39">
        <f>maprop(AR33,AO34,AJ16,AM35,AO35,8)</f>
        <v>0.005594488075062515</v>
      </c>
      <c r="AS16" s="40">
        <f>maprop(AS33,AO34,AJ16,AM35,AO35,8)</f>
        <v>0.006090592426816631</v>
      </c>
      <c r="AT16" s="37">
        <f>maprop(AT33,AO34,AJ16,AM35,AO35,8)</f>
        <v>0.006625555951134082</v>
      </c>
      <c r="AU16" s="37">
        <f>maprop(AU33,AO34,AJ16,AM35,AO35,8)</f>
        <v>0.007202040277939257</v>
      </c>
      <c r="AV16" s="38">
        <f>maprop(AV33,AO34,AJ16,AM35,AO35,8)</f>
        <v>0.007822868595688863</v>
      </c>
      <c r="AW16" s="36">
        <f>maprop(AW33,AO34,AJ16,AM35,AO35,8)</f>
        <v>0.00849103526643861</v>
      </c>
      <c r="AX16" s="37">
        <f>maprop(AX33,AO34,AJ16,AM35,AO35,8)</f>
        <v>0.009209716157816576</v>
      </c>
      <c r="AY16" s="37">
        <f>maprop(AY33,AO34,AJ16,AM35,AO35,8)</f>
        <v>0.009982279766541553</v>
      </c>
      <c r="AZ16" s="39">
        <f>maprop(AZ33,AO34,AJ16,AM35,AO35,8)</f>
        <v>0.010812299217140999</v>
      </c>
      <c r="BA16" s="40">
        <f>maprop(BA33,AO34,AJ16,AM35,AO35,8)</f>
        <v>0.011703565229681698</v>
      </c>
      <c r="BB16" s="37">
        <f>maprop(BB33,AO34,AJ16,AM35,AO35,8)</f>
        <v>0.012660100161819694</v>
      </c>
      <c r="BC16" s="37">
        <f>maprop(BC33,AO34,AJ16,AM35,AO35,8)</f>
        <v>0.013686173243463197</v>
      </c>
      <c r="BD16" s="38">
        <f>maprop(BD33,AO34,AJ16,AM35,AO35,8)</f>
        <v>0.014786317137088181</v>
      </c>
      <c r="BE16" s="41">
        <f>maprop(BE33,AO34,AJ16,AM35,AO35,8)</f>
        <v>0.015965345973471646</v>
      </c>
      <c r="BH16" s="1"/>
    </row>
    <row r="17" spans="1:60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AC17" s="3"/>
      <c r="AJ17" s="16">
        <f>AJ32+(AJ12-AJ32)/20*15</f>
        <v>75</v>
      </c>
      <c r="AK17" s="42">
        <f>maprop(AK33,AO34,AJ17,AM35,AO35,8)</f>
        <v>0.002826905061728423</v>
      </c>
      <c r="AL17" s="43">
        <f>maprop(AL33,AO34,AJ17,AM35,AO35,8)</f>
        <v>0.003095599223885965</v>
      </c>
      <c r="AM17" s="43">
        <f>maprop(AM33,AO34,AJ17,AM35,AO35,8)</f>
        <v>0.0033868239615123734</v>
      </c>
      <c r="AN17" s="44">
        <f>maprop(AN33,AO34,AJ17,AM35,AO35,8)</f>
        <v>0.003702216323115995</v>
      </c>
      <c r="AO17" s="42">
        <f>maprop(AO33,AO34,AJ17,AM35,AO35,8)</f>
        <v>0.004043515152311055</v>
      </c>
      <c r="AP17" s="43">
        <f>maprop(AP33,AO34,AJ17,AM35,AO35,8)</f>
        <v>0.004412566686495894</v>
      </c>
      <c r="AQ17" s="43">
        <f>maprop(AQ33,AO34,AJ17,AM35,AO35,8)</f>
        <v>0.004811330488667262</v>
      </c>
      <c r="AR17" s="45">
        <f>maprop(AR33,AO34,AJ17,AM35,AO35,8)</f>
        <v>0.0052418857418257345</v>
      </c>
      <c r="AS17" s="46">
        <f>maprop(AS33,AO34,AJ17,AM35,AO35,8)</f>
        <v>0.005706437938844817</v>
      </c>
      <c r="AT17" s="43">
        <f>maprop(AT33,AO34,AJ17,AM35,AO35,8)</f>
        <v>0.00620732600451394</v>
      </c>
      <c r="AU17" s="43">
        <f>maprop(AU33,AO34,AJ17,AM35,AO35,8)</f>
        <v>0.006747029890754251</v>
      </c>
      <c r="AV17" s="44">
        <f>maprop(AV33,AO34,AJ17,AM35,AO35,8)</f>
        <v>0.007328178690801398</v>
      </c>
      <c r="AW17" s="42">
        <f>maprop(AW33,AO34,AJ17,AM35,AO35,8)</f>
        <v>0.007953559323536315</v>
      </c>
      <c r="AX17" s="43">
        <f>maprop(AX33,AO34,AJ17,AM35,AO35,8)</f>
        <v>0.00862612584517459</v>
      </c>
      <c r="AY17" s="43">
        <f>maprop(AY33,AO34,AJ17,AM35,AO35,8)</f>
        <v>0.009349009452300319</v>
      </c>
      <c r="AZ17" s="45">
        <f>maprop(AZ33,AO34,AJ17,AM35,AO35,8)</f>
        <v>0.010125529247842437</v>
      </c>
      <c r="BA17" s="46">
        <f>maprop(BA33,AO34,AJ17,AM35,AO35,8)</f>
        <v>0.01095920385015898</v>
      </c>
      <c r="BB17" s="43">
        <f>maprop(BB33,AO34,AJ17,AM35,AO35,8)</f>
        <v>0.011853763935054938</v>
      </c>
      <c r="BC17" s="43">
        <f>maprop(BC33,AO34,AJ17,AM35,AO35,8)</f>
        <v>0.01281316581144931</v>
      </c>
      <c r="BD17" s="44">
        <f>maprop(BD33,AO34,AJ17,AM35,AO35,8)</f>
        <v>0.013841606143741763</v>
      </c>
      <c r="BE17" s="47">
        <f>maprop(BE33,AO34,AJ17,AM35,AO35,8)</f>
        <v>0.01494353794787276</v>
      </c>
      <c r="BH17" s="1"/>
    </row>
    <row r="18" spans="1:60" ht="9.75" customHeight="1">
      <c r="A18" s="6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E18" s="1"/>
      <c r="AJ18" s="16">
        <f>AJ32+(AJ12-AJ32)/20*14</f>
        <v>70</v>
      </c>
      <c r="AK18" s="48">
        <f>maprop(AK33,AO34,AJ18,AM35,AO35,8)</f>
        <v>0.002637645509807038</v>
      </c>
      <c r="AL18" s="49">
        <f>maprop(AL33,AO34,AJ18,AM35,AO35,8)</f>
        <v>0.002888267606195159</v>
      </c>
      <c r="AM18" s="49">
        <f>maprop(AM33,AO34,AJ18,AM35,AO35,8)</f>
        <v>0.0031598886005677557</v>
      </c>
      <c r="AN18" s="50">
        <f>maprop(AN33,AO34,AJ18,AM35,AO35,8)</f>
        <v>0.00345403126049513</v>
      </c>
      <c r="AO18" s="48">
        <f>maprop(AO33,AO34,AJ18,AM35,AO35,8)</f>
        <v>0.0037723125331900684</v>
      </c>
      <c r="AP18" s="49">
        <f>maprop(AP33,AO34,AJ18,AM35,AO35,8)</f>
        <v>0.0041164486470413545</v>
      </c>
      <c r="AQ18" s="49">
        <f>maprop(AQ33,AO34,AJ18,AM35,AO35,8)</f>
        <v>0.004488260506842791</v>
      </c>
      <c r="AR18" s="51">
        <f>maprop(AR33,AO34,AJ18,AM35,AO35,8)</f>
        <v>0.004889679407941094</v>
      </c>
      <c r="AS18" s="52">
        <f>maprop(AS33,AO34,AJ18,AM35,AO35,8)</f>
        <v>0.005322753097427441</v>
      </c>
      <c r="AT18" s="49">
        <f>maprop(AT33,AO34,AJ18,AM35,AO35,8)</f>
        <v>0.005789652213745063</v>
      </c>
      <c r="AU18" s="49">
        <f>maprop(AU33,AO34,AJ18,AM35,AO35,8)</f>
        <v>0.006292677139704968</v>
      </c>
      <c r="AV18" s="50">
        <f>maprop(AV33,AO34,AJ18,AM35,AO35,8)</f>
        <v>0.006834265307959656</v>
      </c>
      <c r="AW18" s="48">
        <f>maprop(AW33,AO34,AJ18,AM35,AO35,8)</f>
        <v>0.0074169990025068485</v>
      </c>
      <c r="AX18" s="49">
        <f>maprop(AX33,AO34,AJ18,AM35,AO35,8)</f>
        <v>0.008043613704876247</v>
      </c>
      <c r="AY18" s="49">
        <f>maprop(AY33,AO34,AJ18,AM35,AO35,8)</f>
        <v>0.008717007039323026</v>
      </c>
      <c r="AZ18" s="51">
        <f>maprop(AZ33,AO34,AJ18,AM35,AO35,8)</f>
        <v>0.00944024837772647</v>
      </c>
      <c r="BA18" s="52">
        <f>maprop(BA33,AO34,AJ18,AM35,AO35,8)</f>
        <v>0.010216589172043088</v>
      </c>
      <c r="BB18" s="49">
        <f>maprop(BB33,AO34,AJ18,AM35,AO35,8)</f>
        <v>0.011049474090199699</v>
      </c>
      <c r="BC18" s="49">
        <f>maprop(BC33,AO34,AJ18,AM35,AO35,8)</f>
        <v>0.011942553040360493</v>
      </c>
      <c r="BD18" s="50">
        <f>maprop(BD33,AO34,AJ18,AM35,AO35,8)</f>
        <v>0.012899694178707795</v>
      </c>
      <c r="BE18" s="53">
        <f>maprop(BE33,AO34,AJ18,AM35,AO35,8)</f>
        <v>0.013924998007390542</v>
      </c>
      <c r="BH18" s="1"/>
    </row>
    <row r="19" spans="1:60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E19" s="1"/>
      <c r="AJ19" s="16">
        <f>AJ32+(AJ12-AJ32)/20*13</f>
        <v>65</v>
      </c>
      <c r="AK19" s="48">
        <f>maprop(AK33,AO34,AJ19,AM35,AO35,8)</f>
        <v>0.0024485005808431073</v>
      </c>
      <c r="AL19" s="49">
        <f>maprop(AL33,AO34,AJ19,AM35,AO35,8)</f>
        <v>0.002681073483801715</v>
      </c>
      <c r="AM19" s="49">
        <f>maprop(AM33,AO34,AJ19,AM35,AO35,8)</f>
        <v>0.002933117883385511</v>
      </c>
      <c r="AN19" s="50">
        <f>maprop(AN33,AO34,AJ19,AM35,AO35,8)</f>
        <v>0.0032060430130468145</v>
      </c>
      <c r="AO19" s="48">
        <f>maprop(AO33,AO34,AJ19,AM35,AO35,8)</f>
        <v>0.0035013447920744503</v>
      </c>
      <c r="AP19" s="49">
        <f>maprop(AP33,AO34,AJ19,AM35,AO35,8)</f>
        <v>0.003820610448504243</v>
      </c>
      <c r="AQ19" s="49">
        <f>maprop(AQ33,AO34,AJ19,AM35,AO35,8)</f>
        <v>0.004165523398943483</v>
      </c>
      <c r="AR19" s="51">
        <f>maprop(AR33,AO34,AJ19,AM35,AO35,8)</f>
        <v>0.004537868406676574</v>
      </c>
      <c r="AS19" s="52">
        <f>maprop(AS33,AO34,AJ19,AM35,AO35,8)</f>
        <v>0.0049395370418440915</v>
      </c>
      <c r="AT19" s="49">
        <f>maprop(AT33,AO34,AJ19,AM35,AO35,8)</f>
        <v>0.005372533470213112</v>
      </c>
      <c r="AU19" s="49">
        <f>maprop(AU33,AO34,AJ19,AM35,AO35,8)</f>
        <v>0.005838980600078007</v>
      </c>
      <c r="AV19" s="50">
        <f>maprop(AV33,AO34,AJ19,AM35,AO35,8)</f>
        <v>0.006341126620220218</v>
      </c>
      <c r="AW19" s="48">
        <f>maprop(AW33,AO34,AJ19,AM35,AO35,8)</f>
        <v>0.006881351965618031</v>
      </c>
      <c r="AX19" s="49">
        <f>maprop(AX33,AO34,AJ19,AM35,AO35,8)</f>
        <v>0.007462176751823983</v>
      </c>
      <c r="AY19" s="49">
        <f>maprop(AY33,AO34,AJ19,AM35,AO35,8)</f>
        <v>0.008086268723627651</v>
      </c>
      <c r="AZ19" s="51">
        <f>maprop(AZ33,AO34,AJ19,AM35,AO35,8)</f>
        <v>0.0087564517688959</v>
      </c>
      <c r="BA19" s="52">
        <f>maprop(BA33,AO34,AJ19,AM35,AO35,8)</f>
        <v>0.009475715054384427</v>
      </c>
      <c r="BB19" s="49">
        <f>maprop(BB33,AO34,AJ19,AM35,AO35,8)</f>
        <v>0.010247222846929324</v>
      </c>
      <c r="BC19" s="49">
        <f>maprop(BC33,AO34,AJ19,AM35,AO35,8)</f>
        <v>0.011074325090852984</v>
      </c>
      <c r="BD19" s="50">
        <f>maprop(BD33,AO34,AJ19,AM35,AO35,8)</f>
        <v>0.011960568820774497</v>
      </c>
      <c r="BE19" s="53">
        <f>maprop(BE33,AO34,AJ19,AM35,AO35,8)</f>
        <v>0.012909710498407384</v>
      </c>
      <c r="BH19" s="1"/>
    </row>
    <row r="20" spans="1:60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E20" s="1"/>
      <c r="AJ20" s="16">
        <f>AJ32+(AJ12-AJ32)/20*12</f>
        <v>60</v>
      </c>
      <c r="AK20" s="54">
        <f>maprop(AK33,AO34,AJ20,AM35,AO35,8)</f>
        <v>0.00225947017073823</v>
      </c>
      <c r="AL20" s="55">
        <f>maprop(AL33,AO34,AJ20,AM35,AO35,8)</f>
        <v>0.0024740167199779122</v>
      </c>
      <c r="AM20" s="55">
        <f>maprop(AM33,AO34,AJ20,AM35,AO35,8)</f>
        <v>0.0027065116308548245</v>
      </c>
      <c r="AN20" s="56">
        <f>maprop(AN33,AO34,AJ20,AM35,AO35,8)</f>
        <v>0.002958251346746938</v>
      </c>
      <c r="AO20" s="54">
        <f>maprop(AO33,AO34,AJ20,AM35,AO35,8)</f>
        <v>0.003230611623968532</v>
      </c>
      <c r="AP20" s="55">
        <f>maprop(AP33,AO34,AJ20,AM35,AO35,8)</f>
        <v>0.0035250516943839947</v>
      </c>
      <c r="AQ20" s="55">
        <f>maprop(AQ33,AO34,AJ20,AM35,AO35,8)</f>
        <v>0.003843118650771033</v>
      </c>
      <c r="AR20" s="57">
        <f>maprop(AR33,AO34,AJ20,AM35,AO35,8)</f>
        <v>0.004186452072796192</v>
      </c>
      <c r="AS20" s="58">
        <f>maprop(AS33,AO34,AJ20,AM35,AO35,8)</f>
        <v>0.0045567889134759286</v>
      </c>
      <c r="AT20" s="55">
        <f>maprop(AT33,AO34,AJ20,AM35,AO35,8)</f>
        <v>0.004955968668248275</v>
      </c>
      <c r="AU20" s="55">
        <f>maprop(AU33,AO34,AJ20,AM35,AO35,8)</f>
        <v>0.005385938851272358</v>
      </c>
      <c r="AV20" s="56">
        <f>maprop(AV33,AO34,AJ20,AM35,AO35,8)</f>
        <v>0.005848760806366637</v>
      </c>
      <c r="AW20" s="54">
        <f>maprop(AW33,AO34,AJ20,AM35,AO35,8)</f>
        <v>0.006346615883088927</v>
      </c>
      <c r="AX20" s="55">
        <f>maprop(AX33,AO34,AJ20,AM35,AO35,8)</f>
        <v>0.006881812011929311</v>
      </c>
      <c r="AY20" s="55">
        <f>maprop(AY33,AO34,AJ20,AM35,AO35,8)</f>
        <v>0.007456790716434025</v>
      </c>
      <c r="AZ20" s="57">
        <f>maprop(AZ33,AO34,AJ20,AM35,AO35,8)</f>
        <v>0.008074134604387828</v>
      </c>
      <c r="BA20" s="58">
        <f>maprop(BA33,AO34,AJ20,AM35,AO35,8)</f>
        <v>0.008736575384986768</v>
      </c>
      <c r="BB20" s="55">
        <f>maprop(BB33,AO34,AJ20,AM35,AO35,8)</f>
        <v>0.0094470024643102</v>
      </c>
      <c r="BC20" s="55">
        <f>maprop(BC33,AO34,AJ20,AM35,AO35,8)</f>
        <v>0.010208472177413618</v>
      </c>
      <c r="BD20" s="56">
        <f>maprop(BD33,AO34,AJ20,AM35,AO35,8)</f>
        <v>0.011024217722116389</v>
      </c>
      <c r="BE20" s="59">
        <f>maprop(BE33,AO34,AJ20,AM35,AO35,8)</f>
        <v>0.011897659867117914</v>
      </c>
      <c r="BH20" s="1"/>
    </row>
    <row r="21" spans="1:60" ht="9.75" customHeight="1">
      <c r="A21" s="6"/>
      <c r="B21" s="6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E21" s="1"/>
      <c r="AJ21" s="16">
        <f>AJ32+(AJ12-AJ32)/20*11</f>
        <v>55</v>
      </c>
      <c r="AK21" s="60">
        <f>maprop(AK33,AO34,AJ21,AM35,AO35,8)</f>
        <v>0.0020705541755194844</v>
      </c>
      <c r="AL21" s="61">
        <f>maprop(AL33,AO34,AJ21,AM35,AO35,8)</f>
        <v>0.0022670971781767165</v>
      </c>
      <c r="AM21" s="61">
        <f>maprop(AM33,AO34,AJ21,AM35,AO35,8)</f>
        <v>0.002480069664124182</v>
      </c>
      <c r="AN21" s="62">
        <f>maprop(AN33,AO34,AJ21,AM35,AO35,8)</f>
        <v>0.0027106560279422658</v>
      </c>
      <c r="AO21" s="60">
        <f>maprop(AO33,AO34,AJ21,AM35,AO35,8)</f>
        <v>0.002960112724403937</v>
      </c>
      <c r="AP21" s="61">
        <f>maprop(AP33,AO34,AJ21,AM35,AO35,8)</f>
        <v>0.0032297719889288826</v>
      </c>
      <c r="AQ21" s="61">
        <f>maprop(AQ33,AO34,AJ21,AM35,AO35,8)</f>
        <v>0.003521045749185786</v>
      </c>
      <c r="AR21" s="63">
        <f>maprop(AR33,AO34,AJ21,AM35,AO35,8)</f>
        <v>0.003835429742555544</v>
      </c>
      <c r="AS21" s="64">
        <f>maprop(AS33,AO34,AJ21,AM35,AO35,8)</f>
        <v>0.0041745078557998</v>
      </c>
      <c r="AT21" s="61">
        <f>maprop(AT33,AO34,AJ21,AM35,AO35,8)</f>
        <v>0.004539956705115486</v>
      </c>
      <c r="AU21" s="61">
        <f>maprop(AU33,AO34,AJ21,AM35,AO35,8)</f>
        <v>0.004933550476784305</v>
      </c>
      <c r="AV21" s="62">
        <f>maprop(AV33,AO34,AJ21,AM35,AO35,8)</f>
        <v>0.005357166050886082</v>
      </c>
      <c r="AW21" s="60">
        <f>maprop(AW33,AO34,AJ21,AM35,AO35,8)</f>
        <v>0.005812788433056207</v>
      </c>
      <c r="AX21" s="61">
        <f>maprop(AX33,AO34,AJ21,AM35,AO35,8)</f>
        <v>0.00630251652206266</v>
      </c>
      <c r="AY21" s="61">
        <f>maprop(AY33,AO34,AJ21,AM35,AO35,8)</f>
        <v>0.006828569244087943</v>
      </c>
      <c r="AZ21" s="63">
        <f>maprop(AZ33,AO34,AJ21,AM35,AO35,8)</f>
        <v>0.007393292088060537</v>
      </c>
      <c r="BA21" s="64">
        <f>maprop(BA33,AO34,AJ21,AM35,AO35,8)</f>
        <v>0.00799916408023876</v>
      </c>
      <c r="BB21" s="61">
        <f>maprop(BB33,AO34,AJ21,AM35,AO35,8)</f>
        <v>0.008648805240550781</v>
      </c>
      <c r="BC21" s="61">
        <f>maprop(BC33,AO34,AJ21,AM35,AO35,8)</f>
        <v>0.009344984567992761</v>
      </c>
      <c r="BD21" s="62">
        <f>maprop(BD33,AO34,AJ21,AM35,AO35,8)</f>
        <v>0.010090628607753671</v>
      </c>
      <c r="BE21" s="65">
        <f>maprop(BE33,AO34,AJ21,AM35,AO35,8)</f>
        <v>0.010888830658734163</v>
      </c>
      <c r="BH21" s="1"/>
    </row>
    <row r="22" spans="1:60" ht="9.75" customHeight="1">
      <c r="A22" s="6"/>
      <c r="B22" s="6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E22" s="1"/>
      <c r="AJ22" s="16">
        <f>AJ32+(AJ12-AJ32)/20*10</f>
        <v>50</v>
      </c>
      <c r="AK22" s="48">
        <f>maprop(AK33,AO34,AJ22,AM35,AO35,8)</f>
        <v>0.0018817524913401769</v>
      </c>
      <c r="AL22" s="49">
        <f>maprop(AL33,AO34,AJ22,AM35,AO35,8)</f>
        <v>0.0020603147220324253</v>
      </c>
      <c r="AM22" s="49">
        <f>maprop(AM33,AO34,AJ22,AM35,AO35,8)</f>
        <v>0.002253791804601708</v>
      </c>
      <c r="AN22" s="50">
        <f>maprop(AN33,AO34,AJ22,AM35,AO35,8)</f>
        <v>0.0024632568233497066</v>
      </c>
      <c r="AO22" s="48">
        <f>maprop(AO33,AO34,AJ22,AM35,AO35,8)</f>
        <v>0.0026898477894395176</v>
      </c>
      <c r="AP22" s="49">
        <f>maprop(AP33,AO34,AJ22,AM35,AO35,8)</f>
        <v>0.002934770937134117</v>
      </c>
      <c r="AQ22" s="49">
        <f>maprop(AQ33,AO34,AJ22,AM35,AO35,8)</f>
        <v>0.0031993041821038754</v>
      </c>
      <c r="AR22" s="51">
        <f>maprop(AR33,AO34,AJ22,AM35,AO35,8)</f>
        <v>0.003484800753698155</v>
      </c>
      <c r="AS22" s="52">
        <f>maprop(AS33,AO34,AJ22,AM35,AO35,8)</f>
        <v>0.003792693014381729</v>
      </c>
      <c r="AT22" s="49">
        <f>maprop(AT33,AO34,AJ22,AM35,AO35,8)</f>
        <v>0.004124496481004705</v>
      </c>
      <c r="AU22" s="49">
        <f>maprop(AU33,AO34,AJ22,AM35,AO35,8)</f>
        <v>0.0044818140641929355</v>
      </c>
      <c r="AV22" s="50">
        <f>maprop(AV33,AO34,AJ22,AM35,AO35,8)</f>
        <v>0.004866340543948091</v>
      </c>
      <c r="AW22" s="48">
        <f>maprop(AW33,AO34,AJ22,AM35,AO35,8)</f>
        <v>0.005279867301540542</v>
      </c>
      <c r="AX22" s="49">
        <f>maprop(AX33,AO34,AJ22,AM35,AO35,8)</f>
        <v>0.005724287330002806</v>
      </c>
      <c r="AY22" s="49">
        <f>maprop(AY33,AO34,AJ22,AM35,AO35,8)</f>
        <v>0.006201600547985633</v>
      </c>
      <c r="AZ22" s="51">
        <f>maprop(AZ33,AO34,AJ22,AM35,AO35,8)</f>
        <v>0.006713919444481109</v>
      </c>
      <c r="BA22" s="52">
        <f>maprop(BA33,AO34,AJ22,AM35,AO35,8)</f>
        <v>0.0072634750849465786</v>
      </c>
      <c r="BB22" s="49">
        <f>maprop(BB33,AO34,AJ22,AM35,AO35,8)</f>
        <v>0.007852623512754495</v>
      </c>
      <c r="BC22" s="49">
        <f>maprop(BC33,AO34,AJ22,AM35,AO35,8)</f>
        <v>0.008483852583639526</v>
      </c>
      <c r="BD22" s="50">
        <f>maprop(BD33,AO34,AJ22,AM35,AO35,8)</f>
        <v>0.009159789275015682</v>
      </c>
      <c r="BE22" s="53">
        <f>maprop(BE33,AO34,AJ22,AM35,AO35,8)</f>
        <v>0.009883207516699015</v>
      </c>
      <c r="BH22" s="1"/>
    </row>
    <row r="23" spans="1:60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E23" s="1"/>
      <c r="AJ23" s="16">
        <f>AJ32+(AJ12-AJ32)/20*9</f>
        <v>45</v>
      </c>
      <c r="AK23" s="48">
        <f>maprop(AK33,AO34,AJ23,AM35,AO35,8)</f>
        <v>0.0016930650144792489</v>
      </c>
      <c r="AL23" s="49">
        <f>maprop(AL33,AO34,AJ23,AM35,AO35,8)</f>
        <v>0.0018536692153599615</v>
      </c>
      <c r="AM23" s="49">
        <f>maprop(AM33,AO34,AJ23,AM35,AO35,8)</f>
        <v>0.002027677873954157</v>
      </c>
      <c r="AN23" s="50">
        <f>maprop(AN33,AO34,AJ23,AM35,AO35,8)</f>
        <v>0.002216053500055444</v>
      </c>
      <c r="AO23" s="48">
        <f>maprop(AO33,AO34,AJ23,AM35,AO35,8)</f>
        <v>0.0024198165156592783</v>
      </c>
      <c r="AP23" s="49">
        <f>maprop(AP33,AO34,AJ23,AM35,AO35,8)</f>
        <v>0.0026400481447399495</v>
      </c>
      <c r="AQ23" s="49">
        <f>maprop(AQ33,AO34,AJ23,AM35,AO35,8)</f>
        <v>0.0028778934384943804</v>
      </c>
      <c r="AR23" s="51">
        <f>maprop(AR33,AO34,AJ23,AM35,AO35,8)</f>
        <v>0.003134564445450514</v>
      </c>
      <c r="AS23" s="52">
        <f>maprop(AS33,AO34,AJ23,AM35,AO35,8)</f>
        <v>0.0034113435368705366</v>
      </c>
      <c r="AT23" s="49">
        <f>maprop(AT33,AO34,AJ23,AM35,AO35,8)</f>
        <v>0.00370958689902108</v>
      </c>
      <c r="AU23" s="49">
        <f>maprop(AU33,AO34,AJ23,AM35,AO35,8)</f>
        <v>0.004030728205145714</v>
      </c>
      <c r="AV23" s="50">
        <f>maprop(AV33,AO34,AJ23,AM35,AO35,8)</f>
        <v>0.004376282481381427</v>
      </c>
      <c r="AW23" s="48">
        <f>maprop(AW33,AO34,AJ23,AM35,AO35,8)</f>
        <v>0.004747850182413166</v>
      </c>
      <c r="AX23" s="49">
        <f>maprop(AX33,AO34,AJ23,AM35,AO35,8)</f>
        <v>0.005147121494386589</v>
      </c>
      <c r="AY23" s="49">
        <f>maprop(AY33,AO34,AJ23,AM35,AO35,8)</f>
        <v>0.005575880884499339</v>
      </c>
      <c r="AZ23" s="51">
        <f>maprop(AZ33,AO34,AJ23,AM35,AO35,8)</f>
        <v>0.006036011918813655</v>
      </c>
      <c r="BA23" s="52">
        <f>maprop(BA33,AO34,AJ23,AM35,AO35,8)</f>
        <v>0.006529502372169045</v>
      </c>
      <c r="BB23" s="49">
        <f>maprop(BB33,AO34,AJ23,AM35,AO35,8)</f>
        <v>0.007058449656674515</v>
      </c>
      <c r="BC23" s="49">
        <f>maprop(BC33,AO34,AJ23,AM35,AO35,8)</f>
        <v>0.007625066598140011</v>
      </c>
      <c r="BD23" s="50">
        <f>maprop(BD33,AO34,AJ23,AM35,AO35,8)</f>
        <v>0.0082316875930091</v>
      </c>
      <c r="BE23" s="53">
        <f>maprop(BE33,AO34,AJ23,AM35,AO35,8)</f>
        <v>0.008880775181906997</v>
      </c>
      <c r="BH23" s="1"/>
    </row>
    <row r="24" spans="1:60" ht="9.75" customHeight="1">
      <c r="A24" s="6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E24" s="1"/>
      <c r="AJ24" s="16">
        <f>AJ32+(AJ12-AJ32)/20*8</f>
        <v>40</v>
      </c>
      <c r="AK24" s="36">
        <f>maprop(AK33,AO34,AJ24,AM35,AO35,8)</f>
        <v>0.001504491641340684</v>
      </c>
      <c r="AL24" s="37">
        <f>maprop(AL33,AO34,AJ24,AM35,AO35,8)</f>
        <v>0.001647160522154173</v>
      </c>
      <c r="AM24" s="37">
        <f>maprop(AM33,AO34,AJ24,AM35,AO35,8)</f>
        <v>0.0018017276941065812</v>
      </c>
      <c r="AN24" s="38">
        <f>maprop(AN33,AO34,AJ24,AM35,AO35,8)</f>
        <v>0.001969045825514743</v>
      </c>
      <c r="AO24" s="36">
        <f>maprop(AO33,AO34,AJ24,AM35,AO35,8)</f>
        <v>0.0021500186001716395</v>
      </c>
      <c r="AP24" s="37">
        <f>maprop(AP33,AO34,AJ24,AM35,AO35,8)</f>
        <v>0.002345603218230454</v>
      </c>
      <c r="AQ24" s="37">
        <f>maprop(AQ33,AO34,AJ24,AM35,AO35,8)</f>
        <v>0.002556813008377153</v>
      </c>
      <c r="AR24" s="39">
        <f>maprop(AR33,AO34,AJ24,AM35,AO35,8)</f>
        <v>0.0027847201585183214</v>
      </c>
      <c r="AS24" s="40">
        <f>maprop(AS33,AO34,AJ24,AM35,AO35,8)</f>
        <v>0.0030304585729915108</v>
      </c>
      <c r="AT24" s="37">
        <f>maprop(AT33,AO34,AJ24,AM35,AO35,8)</f>
        <v>0.0032952268651758494</v>
      </c>
      <c r="AU24" s="37">
        <f>maprop(AU33,AO34,AJ24,AM35,AO35,8)</f>
        <v>0.0035802914953435693</v>
      </c>
      <c r="AV24" s="38">
        <f>maprop(AV33,AO34,AJ24,AM35,AO35,8)</f>
        <v>0.0038869900646523736</v>
      </c>
      <c r="AW24" s="36">
        <f>maprop(AW33,AO34,AJ24,AM35,AO35,8)</f>
        <v>0.004216734777362617</v>
      </c>
      <c r="AX24" s="37">
        <f>maprop(AX33,AO34,AJ24,AM35,AO35,8)</f>
        <v>0.004571016084659578</v>
      </c>
      <c r="AY24" s="37">
        <f>maprop(AY33,AO34,AJ24,AM35,AO35,8)</f>
        <v>0.0049514065249019945</v>
      </c>
      <c r="AZ24" s="39">
        <f>maprop(AZ33,AO34,AJ24,AM35,AO35,8)</f>
        <v>0.00535956477670892</v>
      </c>
      <c r="BA24" s="40">
        <f>maprop(BA33,AO34,AJ24,AM35,AO35,8)</f>
        <v>0.005797239943052607</v>
      </c>
      <c r="BB24" s="37">
        <f>maprop(BB33,AO34,AJ24,AM35,AO35,8)</f>
        <v>0.0062662760864704075</v>
      </c>
      <c r="BC24" s="37">
        <f>maprop(BC33,AO34,AJ24,AM35,AO35,8)</f>
        <v>0.006768617037659143</v>
      </c>
      <c r="BD24" s="38">
        <f>maprop(BD33,AO34,AJ24,AM35,AO35,8)</f>
        <v>0.007306311502091523</v>
      </c>
      <c r="BE24" s="41">
        <f>maprop(BE33,AO34,AJ24,AM35,AO35,8)</f>
        <v>0.007881518491932476</v>
      </c>
      <c r="BH24" s="1"/>
    </row>
    <row r="25" spans="1:60" ht="9.75" customHeight="1">
      <c r="A25" s="6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E25" s="1"/>
      <c r="AJ25" s="16">
        <f>AJ32+(AJ12-AJ32)/20*7</f>
        <v>35</v>
      </c>
      <c r="AK25" s="42">
        <f>maprop(AK33,AO34,AJ25,AM35,AO35,8)</f>
        <v>0.0013160322684542592</v>
      </c>
      <c r="AL25" s="43">
        <f>maprop(AL33,AO34,AJ25,AM35,AO35,8)</f>
        <v>0.0014407885065904752</v>
      </c>
      <c r="AM25" s="43">
        <f>maprop(AM33,AO34,AJ25,AM35,AO35,8)</f>
        <v>0.0015759410872419946</v>
      </c>
      <c r="AN25" s="44">
        <f>maprop(AN33,AO34,AJ25,AM35,AO35,8)</f>
        <v>0.0017222335675504139</v>
      </c>
      <c r="AO25" s="42">
        <f>maprop(AO33,AO34,AJ25,AM35,AO35,8)</f>
        <v>0.0018804537406087115</v>
      </c>
      <c r="AP25" s="43">
        <f>maprop(AP33,AO34,AJ25,AM35,AO35,8)</f>
        <v>0.00205143576483097</v>
      </c>
      <c r="AQ25" s="43">
        <f>maprop(AQ33,AO34,AJ25,AM35,AO35,8)</f>
        <v>0.002236062382819318</v>
      </c>
      <c r="AR25" s="45">
        <f>maprop(AR33,AO34,AJ25,AM35,AO35,8)</f>
        <v>0.0024352672350827615</v>
      </c>
      <c r="AS25" s="46">
        <f>maprop(AS33,AO34,AJ25,AM35,AO35,8)</f>
        <v>0.0026500372745400795</v>
      </c>
      <c r="AT25" s="43">
        <f>maprop(AT33,AO34,AJ25,AM35,AO35,8)</f>
        <v>0.0028814152883759</v>
      </c>
      <c r="AU25" s="43">
        <f>maprop(AU33,AO34,AJ25,AM35,AO35,8)</f>
        <v>0.003130502534526059</v>
      </c>
      <c r="AV25" s="44">
        <f>maprop(AV33,AO34,AJ25,AM35,AO35,8)</f>
        <v>0.003398461500843135</v>
      </c>
      <c r="AW25" s="42">
        <f>maprop(AW33,AO34,AJ25,AM35,AO35,8)</f>
        <v>0.0036865187958616315</v>
      </c>
      <c r="AX25" s="43">
        <f>maprop(AX33,AO34,AJ25,AM35,AO35,8)</f>
        <v>0.003995968181025657</v>
      </c>
      <c r="AY25" s="43">
        <f>maprop(AY33,AO34,AJ25,AM35,AO35,8)</f>
        <v>0.004328173755293697</v>
      </c>
      <c r="AZ25" s="45">
        <f>maprop(AZ33,AO34,AJ25,AM35,AO35,8)</f>
        <v>0.004684573304193255</v>
      </c>
      <c r="BA25" s="46">
        <f>maprop(BA33,AO34,AJ25,AM35,AO35,8)</f>
        <v>0.00506668182666751</v>
      </c>
      <c r="BB25" s="43">
        <f>maprop(BB33,AO34,AJ25,AM35,AO35,8)</f>
        <v>0.005476095254466585</v>
      </c>
      <c r="BC25" s="43">
        <f>maprop(BC33,AO34,AJ25,AM35,AO35,8)</f>
        <v>0.00591449438038409</v>
      </c>
      <c r="BD25" s="44">
        <f>maprop(BD33,AO34,AJ25,AM35,AO35,8)</f>
        <v>0.006383649013348285</v>
      </c>
      <c r="BE25" s="47">
        <f>maprop(BE33,AO34,AJ25,AM35,AO35,8)</f>
        <v>0.006885422380265183</v>
      </c>
      <c r="BH25" s="1"/>
    </row>
    <row r="26" spans="1:60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E26" s="1"/>
      <c r="AJ26" s="16">
        <f>AJ32+(AJ12-AJ32)/20*6</f>
        <v>30</v>
      </c>
      <c r="AK26" s="48">
        <f>maprop(AK33,AO34,AJ26,AM35,AO35,8)</f>
        <v>0.0011276867924742801</v>
      </c>
      <c r="AL26" s="49">
        <f>maprop(AL33,AO34,AJ26,AM35,AO35,8)</f>
        <v>0.0012345530330234767</v>
      </c>
      <c r="AM26" s="49">
        <f>maprop(AM33,AO34,AJ26,AM35,AO35,8)</f>
        <v>0.0013503178758003708</v>
      </c>
      <c r="AN26" s="50">
        <f>maprop(AN33,AO34,AJ26,AM35,AO35,8)</f>
        <v>0.001475616494352624</v>
      </c>
      <c r="AO26" s="48">
        <f>maprop(AO33,AO34,AJ26,AM35,AO35,8)</f>
        <v>0.0016111216351242222</v>
      </c>
      <c r="AP26" s="49">
        <f>maprop(AP33,AO34,AJ26,AM35,AO35,8)</f>
        <v>0.0017575453925067572</v>
      </c>
      <c r="AQ26" s="49">
        <f>maprop(AQ33,AO34,AJ26,AM35,AO35,8)</f>
        <v>0.001915641053932984</v>
      </c>
      <c r="AR26" s="51">
        <f>maprop(AR33,AO34,AJ26,AM35,AO35,8)</f>
        <v>0.002086205018795567</v>
      </c>
      <c r="AS26" s="52">
        <f>maprop(AS33,AO34,AJ26,AM35,AO35,8)</f>
        <v>0.002270078795375515</v>
      </c>
      <c r="AT26" s="49">
        <f>maprop(AT33,AO34,AJ26,AM35,AO35,8)</f>
        <v>0.002468151080414741</v>
      </c>
      <c r="AU26" s="49">
        <f>maprop(AU33,AO34,AJ26,AM35,AO35,8)</f>
        <v>0.0026813599264571253</v>
      </c>
      <c r="AV26" s="50">
        <f>maprop(AV33,AO34,AJ26,AM35,AO35,8)</f>
        <v>0.002910695002628996</v>
      </c>
      <c r="AW26" s="48">
        <f>maprop(AW33,AO34,AJ26,AM35,AO35,8)</f>
        <v>0.0031571999551342285</v>
      </c>
      <c r="AX26" s="49">
        <f>maprop(AX33,AO34,AJ26,AM35,AO35,8)</f>
        <v>0.003421974874398113</v>
      </c>
      <c r="AY26" s="49">
        <f>maprop(AY33,AO34,AJ26,AM35,AO35,8)</f>
        <v>0.003706178876527948</v>
      </c>
      <c r="AZ26" s="51">
        <f>maprop(AZ33,AO34,AJ26,AM35,AO35,8)</f>
        <v>0.004011032807559659</v>
      </c>
      <c r="BA26" s="52">
        <f>maprop(BA33,AO34,AJ26,AM35,AO35,8)</f>
        <v>0.0043378220798463195</v>
      </c>
      <c r="BB26" s="49">
        <f>maprop(BB33,AO34,AJ26,AM35,AO35,8)</f>
        <v>0.004687899650912607</v>
      </c>
      <c r="BC26" s="49">
        <f>maprop(BC33,AO34,AJ26,AM35,AO35,8)</f>
        <v>0.0050626891561717955</v>
      </c>
      <c r="BD26" s="50">
        <f>maprop(BD33,AO34,AJ26,AM35,AO35,8)</f>
        <v>0.005463688208075127</v>
      </c>
      <c r="BE26" s="53">
        <f>maprop(BE33,AO34,AJ26,AM35,AO35,8)</f>
        <v>0.005892471875552973</v>
      </c>
      <c r="BH26" s="1"/>
    </row>
    <row r="27" spans="1:60" ht="9.75" customHeight="1">
      <c r="A27" s="6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E27" s="1"/>
      <c r="AJ27" s="16">
        <f>AJ32+(AJ12-AJ32)/20*5</f>
        <v>25</v>
      </c>
      <c r="AK27" s="48">
        <f>maprop(AK33,AO34,AJ27,AM35,AO35,8)</f>
        <v>0.0009394551101804675</v>
      </c>
      <c r="AL27" s="49">
        <f>maprop(AL33,AO34,AJ27,AM35,AO35,8)</f>
        <v>0.0010284539659877595</v>
      </c>
      <c r="AM27" s="49">
        <f>maprop(AM33,AO34,AJ27,AM35,AO35,8)</f>
        <v>0.0011248578824789846</v>
      </c>
      <c r="AN27" s="50">
        <f>maprop(AN33,AO34,AJ27,AM35,AO35,8)</f>
        <v>0.0012291943744780368</v>
      </c>
      <c r="AO27" s="48">
        <f>maprop(AO33,AO34,AJ27,AM35,AO35,8)</f>
        <v>0.0013420219823934662</v>
      </c>
      <c r="AP27" s="49">
        <f>maprop(AP33,AO34,AJ27,AM35,AO35,8)</f>
        <v>0.0014639317099616582</v>
      </c>
      <c r="AQ27" s="49">
        <f>maprop(AQ33,AO34,AJ27,AM35,AO35,8)</f>
        <v>0.0015955485148729685</v>
      </c>
      <c r="AR27" s="51">
        <f>maprop(AR33,AO34,AJ27,AM35,AO35,8)</f>
        <v>0.0017375328547754507</v>
      </c>
      <c r="AS27" s="52">
        <f>maprop(AS33,AO34,AJ27,AM35,AO35,8)</f>
        <v>0.0018905822914145295</v>
      </c>
      <c r="AT27" s="49">
        <f>maprop(AT33,AO34,AJ27,AM35,AO35,8)</f>
        <v>0.0020554331559628266</v>
      </c>
      <c r="AU27" s="49">
        <f>maprop(AU33,AO34,AJ27,AM35,AO35,8)</f>
        <v>0.002232862278910916</v>
      </c>
      <c r="AV27" s="50">
        <f>maprop(AV33,AO34,AJ27,AM35,AO35,8)</f>
        <v>0.0024236887882575996</v>
      </c>
      <c r="AW27" s="48">
        <f>maprop(AW33,AO34,AJ27,AM35,AO35,8)</f>
        <v>0.00262877598012294</v>
      </c>
      <c r="AX27" s="49">
        <f>maprop(AX33,AO34,AJ27,AM35,AO35,8)</f>
        <v>0.0028490332663509725</v>
      </c>
      <c r="AY27" s="49">
        <f>maprop(AY33,AO34,AJ27,AM35,AO35,8)</f>
        <v>0.0030854182041384712</v>
      </c>
      <c r="AZ27" s="51">
        <f>maprop(AZ33,AO34,AJ27,AM35,AO35,8)</f>
        <v>0.0033389386132588517</v>
      </c>
      <c r="BA27" s="52">
        <f>maprop(BA33,AO34,AJ27,AM35,AO35,8)</f>
        <v>0.00361065478702235</v>
      </c>
      <c r="BB27" s="49">
        <f>maprop(BB33,AO34,AJ27,AM35,AO35,8)</f>
        <v>0.0039016818037452675</v>
      </c>
      <c r="BC27" s="49">
        <f>maprop(BC33,AO34,AJ27,AM35,AO35,8)</f>
        <v>0.004213191946199387</v>
      </c>
      <c r="BD27" s="50">
        <f>maprop(BD33,AO34,AJ27,AM35,AO35,8)</f>
        <v>0.004546417237265388</v>
      </c>
      <c r="BE27" s="53">
        <f>maprop(BE33,AO34,AJ27,AM35,AO35,8)</f>
        <v>0.004902652100851887</v>
      </c>
      <c r="BH27" s="1"/>
    </row>
    <row r="28" spans="1:60" ht="9.75" customHeight="1">
      <c r="A28" s="6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E28" s="1"/>
      <c r="AJ28" s="16">
        <f>AJ32+(AJ12-AJ32)/20*4</f>
        <v>20</v>
      </c>
      <c r="AK28" s="54">
        <f>maprop(AK33,AO34,AJ28,AM35,AO35,8)</f>
        <v>0.0007513371184766938</v>
      </c>
      <c r="AL28" s="55">
        <f>maprop(AL33,AO34,AJ28,AM35,AO35,8)</f>
        <v>0.0008224911701965053</v>
      </c>
      <c r="AM28" s="55">
        <f>maprop(AM33,AO34,AJ28,AM35,AO35,8)</f>
        <v>0.0008995609302314082</v>
      </c>
      <c r="AN28" s="56">
        <f>maprop(AN33,AO34,AJ28,AM35,AO35,8)</f>
        <v>0.0009829669768490878</v>
      </c>
      <c r="AO28" s="54">
        <f>maprop(AO33,AO34,AJ28,AM35,AO35,8)</f>
        <v>0.0010731544816112402</v>
      </c>
      <c r="AP28" s="55">
        <f>maprop(AP33,AO34,AJ28,AM35,AO35,8)</f>
        <v>0.0011705943266355557</v>
      </c>
      <c r="AQ28" s="55">
        <f>maprop(AQ33,AO34,AJ28,AM35,AO35,8)</f>
        <v>0.0012757842598333175</v>
      </c>
      <c r="AR28" s="57">
        <f>maprop(AR33,AO34,AJ28,AM35,AO35,8)</f>
        <v>0.001389250089603741</v>
      </c>
      <c r="AS28" s="58">
        <f>maprop(AS33,AO34,AJ28,AM35,AO35,8)</f>
        <v>0.0015115469206255603</v>
      </c>
      <c r="AT28" s="55">
        <f>maprop(AT33,AO34,AJ28,AM35,AO35,8)</f>
        <v>0.0016432604325580546</v>
      </c>
      <c r="AU28" s="55">
        <f>maprop(AU33,AO34,AJ28,AM35,AO35,8)</f>
        <v>0.001785008203657134</v>
      </c>
      <c r="AV28" s="56">
        <f>maprop(AV33,AO34,AJ28,AM35,AO35,8)</f>
        <v>0.0019374410815263137</v>
      </c>
      <c r="AW28" s="54">
        <f>maprop(AW33,AO34,AJ28,AM35,AO35,8)</f>
        <v>0.002101244603456354</v>
      </c>
      <c r="AX28" s="55">
        <f>maprop(AX33,AO34,AJ28,AM35,AO35,8)</f>
        <v>0.002277140469069418</v>
      </c>
      <c r="AY28" s="55">
        <f>maprop(AY33,AO34,AJ28,AM35,AO35,8)</f>
        <v>0.0024658880682664522</v>
      </c>
      <c r="AZ28" s="57">
        <f>maprop(AZ33,AO34,AJ28,AM35,AO35,8)</f>
        <v>0.0026682860677911704</v>
      </c>
      <c r="BA28" s="58">
        <f>maprop(BA33,AO34,AJ28,AM35,AO35,8)</f>
        <v>0.0028851740600692203</v>
      </c>
      <c r="BB28" s="55">
        <f>maprop(BB33,AO34,AJ28,AM35,AO35,8)</f>
        <v>0.0031174342783524783</v>
      </c>
      <c r="BC28" s="55">
        <f>maprop(BC33,AO34,AJ28,AM35,AO35,8)</f>
        <v>0.0033659933826161834</v>
      </c>
      <c r="BD28" s="56">
        <f>maprop(BD33,AO34,AJ28,AM35,AO35,8)</f>
        <v>0.0036318243211004696</v>
      </c>
      <c r="BE28" s="59">
        <f>maprop(BE33,AO34,AJ28,AM35,AO35,8)</f>
        <v>0.0039159482728826234</v>
      </c>
      <c r="BH28" s="1"/>
    </row>
    <row r="29" spans="1:60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E29" s="1"/>
      <c r="AJ29" s="16">
        <f>AJ32+(AJ12-AJ32)/20*3</f>
        <v>15</v>
      </c>
      <c r="AK29" s="60">
        <f>maprop(AK33,AO34,AJ29,AM35,AO35,8)</f>
        <v>0.000563332714391869</v>
      </c>
      <c r="AL29" s="61">
        <f>maprop(AL33,AO34,AJ29,AM35,AO35,8)</f>
        <v>0.000616664510542274</v>
      </c>
      <c r="AM29" s="61">
        <f>maprop(AM33,AO34,AJ29,AM35,AO35,8)</f>
        <v>0.0006744268422671832</v>
      </c>
      <c r="AN29" s="62">
        <f>maprop(AN33,AO34,AJ29,AM35,AO35,8)</f>
        <v>0.0007369340707532616</v>
      </c>
      <c r="AO29" s="60">
        <f>maprop(AO33,AO34,AJ29,AM35,AO35,8)</f>
        <v>0.0008045188324911263</v>
      </c>
      <c r="AP29" s="61">
        <f>maprop(AP33,AO34,AJ29,AM35,AO35,8)</f>
        <v>0.000877532852703179</v>
      </c>
      <c r="AQ29" s="61">
        <f>maprop(AQ33,AO34,AJ29,AM35,AO35,8)</f>
        <v>0.00095634778404518</v>
      </c>
      <c r="AR29" s="63">
        <f>maprop(AR33,AO34,AJ29,AM35,AO35,8)</f>
        <v>0.0010413560713208364</v>
      </c>
      <c r="AS29" s="64">
        <f>maprop(AS33,AO34,AJ29,AM35,AO35,8)</f>
        <v>0.0011329718430217338</v>
      </c>
      <c r="AT29" s="61">
        <f>maprop(AT33,AO34,AJ29,AM35,AO35,8)</f>
        <v>0.0012316318305963048</v>
      </c>
      <c r="AU29" s="61">
        <f>maprop(AU33,AO34,AJ29,AM35,AO35,8)</f>
        <v>0.001337796316446443</v>
      </c>
      <c r="AV29" s="62">
        <f>maprop(AV33,AO34,AJ29,AM35,AO35,8)</f>
        <v>0.0014519501117610362</v>
      </c>
      <c r="AW29" s="60">
        <f>maprop(AW33,AO34,AJ29,AM35,AO35,8)</f>
        <v>0.001574603565416147</v>
      </c>
      <c r="AX29" s="61">
        <f>maprop(AX33,AO34,AJ29,AM35,AO35,8)</f>
        <v>0.0017062936053017965</v>
      </c>
      <c r="AY29" s="61">
        <f>maprop(AY33,AO34,AJ29,AM35,AO35,8)</f>
        <v>0.0018475848135880916</v>
      </c>
      <c r="AZ29" s="63">
        <f>maprop(AZ33,AO34,AJ29,AM35,AO35,8)</f>
        <v>0.0019990705375991734</v>
      </c>
      <c r="BA29" s="64">
        <f>maprop(BA33,AO34,AJ29,AM35,AO35,8)</f>
        <v>0.0021613740381427327</v>
      </c>
      <c r="BB29" s="61">
        <f>maprop(BB33,AO34,AJ29,AM35,AO35,8)</f>
        <v>0.0023351496773389257</v>
      </c>
      <c r="BC29" s="61">
        <f>maprop(BC33,AO34,AJ29,AM35,AO35,8)</f>
        <v>0.0025210841481999027</v>
      </c>
      <c r="BD29" s="62">
        <f>maprop(BD33,AO34,AJ29,AM35,AO35,8)</f>
        <v>0.00271989774844611</v>
      </c>
      <c r="BE29" s="65">
        <f>maprop(BE33,AO34,AJ29,AM35,AO35,8)</f>
        <v>0.0029323457012953667</v>
      </c>
      <c r="BH29" s="1"/>
    </row>
    <row r="30" spans="1:60" ht="9.75" customHeight="1">
      <c r="A30" s="6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E30" s="1"/>
      <c r="AJ30" s="16">
        <f>AJ32+(AJ12-AJ32)/20*2</f>
        <v>10</v>
      </c>
      <c r="AK30" s="48">
        <f>maprop(AK33,AO34,AJ30,AM35,AO35,8)</f>
        <v>0.00037544179507867956</v>
      </c>
      <c r="AL30" s="49">
        <f>maprop(AL33,AO34,AJ30,AM35,AO35,8)</f>
        <v>0.0004109738520956371</v>
      </c>
      <c r="AM30" s="49">
        <f>maprop(AM33,AO34,AJ30,AM35,AO35,8)</f>
        <v>0.0004494554420514917</v>
      </c>
      <c r="AN30" s="50">
        <f>maprop(AN33,AO34,AJ30,AM35,AO35,8)</f>
        <v>0.000491095425842373</v>
      </c>
      <c r="AO30" s="48">
        <f>maprop(AO33,AO34,AJ30,AM35,AO35,8)</f>
        <v>0.000536114735264775</v>
      </c>
      <c r="AP30" s="49">
        <f>maprop(AP33,AO34,AJ30,AM35,AO35,8)</f>
        <v>0.0005847468990722415</v>
      </c>
      <c r="AQ30" s="49">
        <f>maprop(AQ33,AO34,AJ30,AM35,AO35,8)</f>
        <v>0.0006372385837740163</v>
      </c>
      <c r="AR30" s="51">
        <f>maprop(AR33,AO34,AJ30,AM35,AO35,8)</f>
        <v>0.0006938501494213331</v>
      </c>
      <c r="AS30" s="52">
        <f>maprop(AS33,AO34,AJ30,AM35,AO35,8)</f>
        <v>0.0007548562206552023</v>
      </c>
      <c r="AT30" s="49">
        <f>maprop(AT33,AO34,AJ30,AM35,AO35,8)</f>
        <v>0.0008205462733220102</v>
      </c>
      <c r="AU30" s="49">
        <f>maprop(AU33,AO34,AJ30,AM35,AO35,8)</f>
        <v>0.0008912252369964739</v>
      </c>
      <c r="AV30" s="50">
        <f>maprop(AV33,AO34,AJ30,AM35,AO35,8)</f>
        <v>0.0009672141137951095</v>
      </c>
      <c r="AW30" s="48">
        <f>maprop(AW33,AO34,AJ30,AM35,AO35,8)</f>
        <v>0.0010488506139056254</v>
      </c>
      <c r="AX30" s="49">
        <f>maprop(AX33,AO34,AJ30,AM35,AO35,8)</f>
        <v>0.0011364898083112446</v>
      </c>
      <c r="AY30" s="49">
        <f>maprop(AY33,AO34,AJ30,AM35,AO35,8)</f>
        <v>0.0012305047992432487</v>
      </c>
      <c r="AZ30" s="51">
        <f>maprop(AZ33,AO34,AJ30,AM35,AO35,8)</f>
        <v>0.0013312874089609268</v>
      </c>
      <c r="BA30" s="52">
        <f>maprop(BA33,AO34,AJ30,AM35,AO35,8)</f>
        <v>0.0014392488875225142</v>
      </c>
      <c r="BB30" s="49">
        <f>maprop(BB33,AO34,AJ30,AM35,AO35,8)</f>
        <v>0.0015548206402934827</v>
      </c>
      <c r="BC30" s="49">
        <f>maprop(BC33,AO34,AJ30,AM35,AO35,8)</f>
        <v>0.0016784549760149585</v>
      </c>
      <c r="BD30" s="50">
        <f>maprop(BD33,AO34,AJ30,AM35,AO35,8)</f>
        <v>0.0018106258763523882</v>
      </c>
      <c r="BE30" s="53">
        <f>maprop(BE33,AO34,AJ30,AM35,AO35,8)</f>
        <v>0.0019518297879401846</v>
      </c>
      <c r="BH30" s="1"/>
    </row>
    <row r="31" spans="1:57" ht="9.75" customHeight="1">
      <c r="A31" s="6"/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E31" s="1"/>
      <c r="AJ31" s="16">
        <f>AJ32+(AJ12-AJ32)/20*1</f>
        <v>5</v>
      </c>
      <c r="AK31" s="48">
        <f>maprop(AK33,AO34,AJ31,AM35,AO35,8)</f>
        <v>0.0001876642578144731</v>
      </c>
      <c r="AL31" s="49">
        <f>maprop(AL33,AO34,AJ31,AM35,AO35,8)</f>
        <v>0.00020541906010595234</v>
      </c>
      <c r="AM31" s="49">
        <f>maprop(AM33,AO34,AJ31,AM35,AO35,8)</f>
        <v>0.0002246465533041598</v>
      </c>
      <c r="AN31" s="50">
        <f>maprop(AN33,AO34,AJ31,AM35,AO35,8)</f>
        <v>0.0002454508121318465</v>
      </c>
      <c r="AO31" s="48">
        <f>maprop(AO33,AO34,AJ31,AM35,AO35,8)</f>
        <v>0.00026794189067985246</v>
      </c>
      <c r="AP31" s="49">
        <f>maprop(AP33,AO34,AJ31,AM35,AO35,8)</f>
        <v>0.0002922360773815853</v>
      </c>
      <c r="AQ31" s="49">
        <f>maprop(AQ33,AO34,AJ31,AM35,AO35,8)</f>
        <v>0.00031845615631681735</v>
      </c>
      <c r="AR31" s="51">
        <f>maprop(AR33,AO34,AJ31,AM35,AO35,8)</f>
        <v>0.00034673167485037184</v>
      </c>
      <c r="AS31" s="52">
        <f>maprop(AS33,AO34,AJ31,AM35,AO35,8)</f>
        <v>0.00037719921761082274</v>
      </c>
      <c r="AT31" s="49">
        <f>maprop(AT33,AO34,AJ31,AM35,AO35,8)</f>
        <v>0.0004100026868187708</v>
      </c>
      <c r="AU31" s="49">
        <f>maprop(AU33,AO34,AJ31,AM35,AO35,8)</f>
        <v>0.00044529358897789465</v>
      </c>
      <c r="AV31" s="50">
        <f>maprop(AV33,AO34,AJ31,AM35,AO35,8)</f>
        <v>0.0004832313279469841</v>
      </c>
      <c r="AW31" s="48">
        <f>maprop(AW33,AO34,AJ31,AM35,AO35,8)</f>
        <v>0.000523983504417084</v>
      </c>
      <c r="AX31" s="49">
        <f>maprop(AX33,AO34,AJ31,AM35,AO35,8)</f>
        <v>0.0005677262218275568</v>
      </c>
      <c r="AY31" s="49">
        <f>maprop(AY33,AO34,AJ31,AM35,AO35,8)</f>
        <v>0.000614644398763173</v>
      </c>
      <c r="AZ31" s="51">
        <f>maprop(AZ33,AO34,AJ31,AM35,AO35,8)</f>
        <v>0.0006649320878839762</v>
      </c>
      <c r="BA31" s="52">
        <f>maprop(BA33,AO34,AJ31,AM35,AO35,8)</f>
        <v>0.0007187928014555488</v>
      </c>
      <c r="BB31" s="49">
        <f>maprop(BB33,AO34,AJ31,AM35,AO35,8)</f>
        <v>0.0007764398435583617</v>
      </c>
      <c r="BC31" s="49">
        <f>maprop(BC33,AO34,AJ31,AM35,AO35,8)</f>
        <v>0.0008380966490735224</v>
      </c>
      <c r="BD31" s="50">
        <f>maprop(BD33,AO34,AJ31,AM35,AO35,8)</f>
        <v>0.0009039971295580783</v>
      </c>
      <c r="BE31" s="53">
        <f>maprop(BE33,AO34,AJ31,AM35,AO35,8)</f>
        <v>0.0009743860261449674</v>
      </c>
    </row>
    <row r="32" spans="1:57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E32" s="1"/>
      <c r="AJ32" s="20">
        <v>0</v>
      </c>
      <c r="AK32" s="54">
        <f>maprop(AK33,AO34,AJ32,AM35,AO35,8)</f>
        <v>0</v>
      </c>
      <c r="AL32" s="55">
        <f>maprop(AL33,AO34,AJ32,AM35,AO35,8)</f>
        <v>0</v>
      </c>
      <c r="AM32" s="55">
        <f>maprop(AM33,AO34,AJ32,AM35,AO35,8)</f>
        <v>0</v>
      </c>
      <c r="AN32" s="56">
        <f>maprop(AN33,AO34,AJ32,AM35,AO35,8)</f>
        <v>0</v>
      </c>
      <c r="AO32" s="54">
        <f>maprop(AO33,AO34,AJ32,AM35,AO35,8)</f>
        <v>0</v>
      </c>
      <c r="AP32" s="55">
        <f>maprop(AP33,AO34,AJ32,AM35,AO35,8)</f>
        <v>0</v>
      </c>
      <c r="AQ32" s="55">
        <f>maprop(AQ33,AO34,AJ32,AM35,AO35,8)</f>
        <v>0</v>
      </c>
      <c r="AR32" s="57">
        <f>maprop(AR33,AO34,AJ32,AM35,AO35,8)</f>
        <v>0</v>
      </c>
      <c r="AS32" s="58">
        <f>maprop(AS33,AO34,AJ32,AM35,AO35,8)</f>
        <v>0</v>
      </c>
      <c r="AT32" s="55">
        <f>maprop(AT33,AO34,AJ32,AM35,AO35,8)</f>
        <v>0</v>
      </c>
      <c r="AU32" s="55">
        <f>maprop(AU33,AO34,AJ32,AM35,AO35,8)</f>
        <v>0</v>
      </c>
      <c r="AV32" s="56">
        <f>maprop(AV33,AO34,AJ32,AM35,AO35,8)</f>
        <v>0</v>
      </c>
      <c r="AW32" s="54">
        <f>maprop(AW33,AO34,AJ32,AM35,AO35,8)</f>
        <v>0</v>
      </c>
      <c r="AX32" s="55">
        <f>maprop(AX33,AO34,AJ32,AM35,AO35,8)</f>
        <v>0</v>
      </c>
      <c r="AY32" s="55">
        <f>maprop(AY33,AO34,AJ32,AM35,AO35,8)</f>
        <v>0</v>
      </c>
      <c r="AZ32" s="57">
        <f>maprop(AZ33,AO34,AJ32,AM35,AO35,8)</f>
        <v>0</v>
      </c>
      <c r="BA32" s="58">
        <f>maprop(BA33,AO34,AJ32,AM35,AO35,8)</f>
        <v>0</v>
      </c>
      <c r="BB32" s="55">
        <f>maprop(BB33,AO34,AJ32,AM35,AO35,8)</f>
        <v>0</v>
      </c>
      <c r="BC32" s="55">
        <f>maprop(BC33,AO34,AJ32,AM35,AO35,8)</f>
        <v>0</v>
      </c>
      <c r="BD32" s="56">
        <f>maprop(BD33,AO34,AJ32,AM35,AO35,8)</f>
        <v>0</v>
      </c>
      <c r="BE32" s="59">
        <f>maprop(BE33,AO34,AJ32,AM35,AO35,8)</f>
        <v>0</v>
      </c>
    </row>
    <row r="33" spans="1:60" ht="9.75" customHeight="1">
      <c r="A33" s="6"/>
      <c r="B33" s="6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E33" s="1"/>
      <c r="AJ33" s="3"/>
      <c r="AK33" s="18">
        <v>0.001</v>
      </c>
      <c r="AL33" s="22">
        <f>AK33+(BE33-AK33)/20*1</f>
        <v>1.2509499999999998</v>
      </c>
      <c r="AM33" s="22">
        <f>AK33+(BE33-AK33)/20*2</f>
        <v>2.5008999999999997</v>
      </c>
      <c r="AN33" s="22">
        <f>AK33+(BE33-AK33)/20*3</f>
        <v>3.7508499999999994</v>
      </c>
      <c r="AO33" s="24">
        <f>AK33+(BE33-AK33)/20*4</f>
        <v>5.0008</v>
      </c>
      <c r="AP33" s="15">
        <f>AK33+(BE33-AK33)/20*5</f>
        <v>6.25075</v>
      </c>
      <c r="AQ33" s="15">
        <f>AK33+(BE33-AK33)/20*6</f>
        <v>7.500699999999999</v>
      </c>
      <c r="AR33" s="25">
        <f>AK33+(BE33-AK33)/20*7</f>
        <v>8.750649999999998</v>
      </c>
      <c r="AS33" s="22">
        <f>AK33+(BE33-AK33)/20*8</f>
        <v>10.000599999999999</v>
      </c>
      <c r="AT33" s="22">
        <f>AK33+(BE33-AK33)/20*9</f>
        <v>11.250549999999999</v>
      </c>
      <c r="AU33" s="22">
        <f>AK33+(BE33-AK33)/20*10</f>
        <v>12.500499999999999</v>
      </c>
      <c r="AV33" s="22">
        <f>AK33+(BE33-AK33)/20*11</f>
        <v>13.750449999999999</v>
      </c>
      <c r="AW33" s="24">
        <f>AK33+(BE33-AK33)/20*12</f>
        <v>15.000399999999997</v>
      </c>
      <c r="AX33" s="15">
        <f>AK33+(BE33-AK33)/20*13</f>
        <v>16.25035</v>
      </c>
      <c r="AY33" s="15">
        <f>AK33+(BE33-AK33)/20*14</f>
        <v>17.5003</v>
      </c>
      <c r="AZ33" s="25">
        <f>AK33+(BE33-AK33)/20*15</f>
        <v>18.75025</v>
      </c>
      <c r="BA33" s="22">
        <f>AK33+(BE33-AK33)/20*16</f>
        <v>20.0002</v>
      </c>
      <c r="BB33" s="22">
        <f>AK33+(BE33-AK33)/20*17</f>
        <v>21.250149999999998</v>
      </c>
      <c r="BC33" s="22">
        <f>AK33+(BE33-AK33)/20*18</f>
        <v>22.5001</v>
      </c>
      <c r="BD33" s="22">
        <f>AK33+(BE33-AK33)/20*19</f>
        <v>23.750049999999998</v>
      </c>
      <c r="BE33" s="138">
        <f>(INT((MAX(T43,X43)-0.001)/5)+1)*5</f>
        <v>25</v>
      </c>
      <c r="BH33" s="1"/>
    </row>
    <row r="34" spans="1:60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E34" s="1"/>
      <c r="AK34" s="27" t="s">
        <v>119</v>
      </c>
      <c r="AL34" s="1"/>
      <c r="AN34" s="1"/>
      <c r="AO34" s="21" t="s">
        <v>120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H34" s="1"/>
    </row>
    <row r="35" spans="1:60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E35" s="1"/>
      <c r="AJ35" s="1"/>
      <c r="AK35" s="26" t="s">
        <v>121</v>
      </c>
      <c r="AL35" s="1"/>
      <c r="AM35" s="7">
        <f>T45</f>
        <v>0</v>
      </c>
      <c r="AN35" s="1"/>
      <c r="AO35" s="2" t="str">
        <f>AD45</f>
        <v>mmH2O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H35" s="1"/>
    </row>
    <row r="36" spans="1:40" ht="9.75" customHeight="1">
      <c r="A36" s="6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E36" s="1"/>
      <c r="AJ36" s="135" t="s">
        <v>290</v>
      </c>
      <c r="AK36" s="66"/>
      <c r="AM36" s="135" t="s">
        <v>291</v>
      </c>
      <c r="AN36" s="66"/>
    </row>
    <row r="37" spans="1:40" ht="9.75" customHeight="1">
      <c r="A37" s="6"/>
      <c r="B37" s="6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9"/>
      <c r="Z37" s="1"/>
      <c r="AA37" s="1"/>
      <c r="AE37" s="1"/>
      <c r="AJ37" s="127">
        <f>E44</f>
        <v>0.0035559008856831374</v>
      </c>
      <c r="AK37" s="127">
        <f>K46</f>
        <v>0.008250692762552414</v>
      </c>
      <c r="AM37" s="136">
        <f>E50</f>
        <v>0.009883207516699015</v>
      </c>
      <c r="AN37" s="16">
        <f>AK37</f>
        <v>0.008250692762552414</v>
      </c>
    </row>
    <row r="38" spans="1:40" ht="9.75" customHeight="1">
      <c r="A38" s="1"/>
      <c r="B38" s="1"/>
      <c r="C38" s="76" t="s">
        <v>191</v>
      </c>
      <c r="W38" s="1"/>
      <c r="AE38" s="1"/>
      <c r="AJ38" s="127">
        <f>T43</f>
        <v>4</v>
      </c>
      <c r="AK38" s="127">
        <f>AB43</f>
        <v>19.630000000000013</v>
      </c>
      <c r="AM38" s="127">
        <f>X43</f>
        <v>25</v>
      </c>
      <c r="AN38" s="16">
        <f>AK38</f>
        <v>19.630000000000013</v>
      </c>
    </row>
    <row r="39" spans="1:31" ht="9.75" customHeight="1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E39" s="1"/>
    </row>
    <row r="40" spans="1:33" ht="9.75" customHeight="1">
      <c r="A40" s="6"/>
      <c r="B40" s="6"/>
      <c r="D40" s="194" t="s">
        <v>122</v>
      </c>
      <c r="E40" s="194"/>
      <c r="F40" s="194"/>
      <c r="J40" s="194" t="s">
        <v>252</v>
      </c>
      <c r="K40" s="194"/>
      <c r="L40" s="194"/>
      <c r="N40" s="178" t="s">
        <v>193</v>
      </c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</row>
    <row r="41" spans="1:36" ht="9.75" customHeight="1">
      <c r="A41" s="6"/>
      <c r="B41" s="6"/>
      <c r="C41" s="1"/>
      <c r="G41" s="1"/>
      <c r="H41" s="1"/>
      <c r="I41" s="1"/>
      <c r="M41" s="1"/>
      <c r="N41" s="32"/>
      <c r="O41" s="32"/>
      <c r="P41" s="32"/>
      <c r="Q41" s="32"/>
      <c r="R41" s="32"/>
      <c r="S41" s="32"/>
      <c r="T41" s="178" t="str">
        <f>D40</f>
        <v>State 1</v>
      </c>
      <c r="U41" s="178"/>
      <c r="V41" s="32"/>
      <c r="W41" s="32"/>
      <c r="X41" s="178" t="str">
        <f>D46</f>
        <v>State 2</v>
      </c>
      <c r="Y41" s="178"/>
      <c r="Z41" s="32"/>
      <c r="AA41" s="32"/>
      <c r="AB41" s="178" t="str">
        <f>J40</f>
        <v>State 3</v>
      </c>
      <c r="AC41" s="178"/>
      <c r="AD41" s="32"/>
      <c r="AE41" s="32"/>
      <c r="AF41" s="32"/>
      <c r="AG41" s="32"/>
      <c r="AJ41" s="16" t="s">
        <v>124</v>
      </c>
    </row>
    <row r="42" spans="1:48" ht="9.75" customHeight="1">
      <c r="A42" s="6"/>
      <c r="B42" s="6"/>
      <c r="C42" s="1"/>
      <c r="D42" s="23" t="s">
        <v>149</v>
      </c>
      <c r="E42" s="195">
        <f>T49</f>
        <v>10130.952670280307</v>
      </c>
      <c r="F42" s="195"/>
      <c r="G42" s="1"/>
      <c r="H42" s="1"/>
      <c r="I42" s="1"/>
      <c r="J42" s="1"/>
      <c r="K42" s="1"/>
      <c r="L42" s="1"/>
      <c r="M42" s="1"/>
      <c r="N42" s="69" t="s">
        <v>135</v>
      </c>
      <c r="O42" s="69"/>
      <c r="P42" s="69"/>
      <c r="Q42" s="17"/>
      <c r="R42" s="69"/>
      <c r="S42" s="17"/>
      <c r="T42" s="198">
        <v>8000</v>
      </c>
      <c r="U42" s="198"/>
      <c r="V42" s="69"/>
      <c r="W42" s="17"/>
      <c r="X42" s="198">
        <v>25000</v>
      </c>
      <c r="Y42" s="198"/>
      <c r="Z42" s="69"/>
      <c r="AA42" s="17"/>
      <c r="AB42" s="189">
        <f>IF(AD42="m3/h",AB47,IF(AD42="kg/h",AS55,IF(AD42="Nm3/h",AS55/AS52)))</f>
        <v>33000.886923447484</v>
      </c>
      <c r="AC42" s="189"/>
      <c r="AD42" s="17" t="s">
        <v>178</v>
      </c>
      <c r="AE42" s="17"/>
      <c r="AF42" s="17"/>
      <c r="AG42" s="17"/>
      <c r="AI42" s="128">
        <f>T42+X42</f>
        <v>33000</v>
      </c>
      <c r="AJ42" s="28" t="s">
        <v>126</v>
      </c>
      <c r="AK42" s="28"/>
      <c r="AL42" s="178" t="s">
        <v>127</v>
      </c>
      <c r="AM42" s="178"/>
      <c r="AN42" s="190" t="s">
        <v>128</v>
      </c>
      <c r="AO42" s="190"/>
      <c r="AQ42" s="28" t="s">
        <v>126</v>
      </c>
      <c r="AR42" s="28"/>
      <c r="AS42" s="178" t="str">
        <f>AL42</f>
        <v>volume%</v>
      </c>
      <c r="AT42" s="178"/>
      <c r="AU42" s="190" t="s">
        <v>128</v>
      </c>
      <c r="AV42" s="190"/>
    </row>
    <row r="43" spans="1:48" ht="9.75" customHeight="1">
      <c r="A43" s="1"/>
      <c r="B43" s="1"/>
      <c r="C43" s="1"/>
      <c r="D43" s="23" t="s">
        <v>129</v>
      </c>
      <c r="E43" s="196">
        <f>T50</f>
        <v>3.0914491895500937</v>
      </c>
      <c r="F43" s="196"/>
      <c r="G43" s="1"/>
      <c r="H43" s="1"/>
      <c r="I43" s="1"/>
      <c r="J43" s="1"/>
      <c r="K43" s="1"/>
      <c r="L43" s="1"/>
      <c r="M43" s="1"/>
      <c r="N43" s="68" t="s">
        <v>125</v>
      </c>
      <c r="O43" s="68"/>
      <c r="P43" s="68"/>
      <c r="Q43" s="68"/>
      <c r="R43" s="68"/>
      <c r="S43" s="68"/>
      <c r="T43" s="188">
        <v>4</v>
      </c>
      <c r="U43" s="188"/>
      <c r="V43" s="68"/>
      <c r="W43" s="17"/>
      <c r="X43" s="188">
        <v>25</v>
      </c>
      <c r="Y43" s="188"/>
      <c r="Z43" s="68"/>
      <c r="AA43" s="17"/>
      <c r="AB43" s="191">
        <f>tgmohfind(AS57,AS55,AU55,0,AD43,AB45,AD45,AQ43,AQ44,AQ45,AQ46,AQ47,AQ48,AQ49,"","","",AS43,AS44,AS45,AS46,AS47,AS48,AS49,0,0,0,AS42)</f>
        <v>19.630000000000013</v>
      </c>
      <c r="AC43" s="191"/>
      <c r="AD43" s="74" t="s">
        <v>35</v>
      </c>
      <c r="AE43" s="17"/>
      <c r="AF43" s="17"/>
      <c r="AG43" s="17"/>
      <c r="AJ43" s="29" t="s">
        <v>132</v>
      </c>
      <c r="AK43" s="29"/>
      <c r="AL43" s="179">
        <f>((fprop("Saturated","H2O",T43,AD43,0,"","Yes",0,1,10)+1.033227)*T44/100)/(pressconv(T45,AD45,"kg/cm2.g")+1.033227)*100</f>
        <v>0.5684611067594619</v>
      </c>
      <c r="AM43" s="179"/>
      <c r="AN43" s="143">
        <v>0</v>
      </c>
      <c r="AO43" s="143"/>
      <c r="AQ43" s="29" t="str">
        <f>AJ43</f>
        <v>H2O</v>
      </c>
      <c r="AR43" s="29"/>
      <c r="AS43" s="210">
        <f>(AL55/AL52*AL43+AL72/AL69*AL60)/(AL55/AL52+AL72/AL69)</f>
        <v>1.3091644067367012</v>
      </c>
      <c r="AT43" s="210"/>
      <c r="AU43" s="211">
        <f>AN43</f>
        <v>0</v>
      </c>
      <c r="AV43" s="211"/>
    </row>
    <row r="44" spans="1:48" ht="9.75" customHeight="1">
      <c r="A44" s="6"/>
      <c r="B44" s="6"/>
      <c r="C44" s="1"/>
      <c r="D44" s="23" t="s">
        <v>133</v>
      </c>
      <c r="E44" s="197">
        <f>T46</f>
        <v>0.0035559008856831374</v>
      </c>
      <c r="F44" s="197"/>
      <c r="G44" s="1"/>
      <c r="H44" s="1"/>
      <c r="I44" s="1"/>
      <c r="J44" s="23" t="s">
        <v>151</v>
      </c>
      <c r="K44" s="195">
        <f>AB49</f>
        <v>39265.583264318964</v>
      </c>
      <c r="L44" s="195"/>
      <c r="M44" s="1"/>
      <c r="N44" s="68" t="s">
        <v>130</v>
      </c>
      <c r="O44" s="68"/>
      <c r="P44" s="68"/>
      <c r="Q44" s="68"/>
      <c r="R44" s="68"/>
      <c r="S44" s="68"/>
      <c r="T44" s="188">
        <v>70.8</v>
      </c>
      <c r="U44" s="188"/>
      <c r="V44" s="68"/>
      <c r="W44" s="17"/>
      <c r="X44" s="188">
        <v>50</v>
      </c>
      <c r="Y44" s="188"/>
      <c r="Z44" s="68"/>
      <c r="AA44" s="17"/>
      <c r="AB44" s="206">
        <f>maprop_w(AB43,AD43,AB46,AB45,AD45,8)</f>
        <v>58.024094782496945</v>
      </c>
      <c r="AC44" s="206"/>
      <c r="AD44" s="68" t="s">
        <v>131</v>
      </c>
      <c r="AE44" s="17"/>
      <c r="AF44" s="17"/>
      <c r="AG44" s="17"/>
      <c r="AJ44" s="17" t="s">
        <v>134</v>
      </c>
      <c r="AK44" s="17"/>
      <c r="AL44" s="180">
        <f>(100-AL43)*AN44/AN50</f>
        <v>77.64245210296104</v>
      </c>
      <c r="AM44" s="180"/>
      <c r="AN44" s="188">
        <v>78.084</v>
      </c>
      <c r="AO44" s="188"/>
      <c r="AQ44" s="17" t="str">
        <f>AJ44</f>
        <v>N2</v>
      </c>
      <c r="AR44" s="17"/>
      <c r="AS44" s="180">
        <f>(100-AS43)*AU44/AU50</f>
        <v>77.06406398656331</v>
      </c>
      <c r="AT44" s="180"/>
      <c r="AU44" s="204">
        <f>AN44</f>
        <v>78.084</v>
      </c>
      <c r="AV44" s="204"/>
    </row>
    <row r="45" spans="1:48" ht="9.75" customHeight="1">
      <c r="A45" s="6"/>
      <c r="B45" s="6"/>
      <c r="C45" s="1"/>
      <c r="D45" s="1"/>
      <c r="E45" s="1"/>
      <c r="F45" s="1"/>
      <c r="G45" s="1"/>
      <c r="H45" s="1"/>
      <c r="I45" s="1"/>
      <c r="J45" s="23" t="s">
        <v>152</v>
      </c>
      <c r="K45" s="196">
        <f>AB50</f>
        <v>9.715461751458912</v>
      </c>
      <c r="L45" s="196"/>
      <c r="M45" s="1"/>
      <c r="N45" s="17" t="s">
        <v>121</v>
      </c>
      <c r="O45" s="17"/>
      <c r="P45" s="17"/>
      <c r="Q45" s="17"/>
      <c r="R45" s="17"/>
      <c r="S45" s="17"/>
      <c r="T45" s="188">
        <v>0</v>
      </c>
      <c r="U45" s="188"/>
      <c r="V45" s="17"/>
      <c r="W45" s="17"/>
      <c r="X45" s="149">
        <f>T45</f>
        <v>0</v>
      </c>
      <c r="Y45" s="149"/>
      <c r="Z45" s="17"/>
      <c r="AA45" s="17"/>
      <c r="AB45" s="149">
        <f>T45</f>
        <v>0</v>
      </c>
      <c r="AC45" s="149"/>
      <c r="AD45" s="17" t="s">
        <v>12</v>
      </c>
      <c r="AE45" s="17"/>
      <c r="AF45" s="17"/>
      <c r="AG45" s="17"/>
      <c r="AJ45" s="17" t="s">
        <v>136</v>
      </c>
      <c r="AK45" s="17"/>
      <c r="AL45" s="180">
        <f>(100-AL43)*AN45/AN50</f>
        <v>20.829145915577925</v>
      </c>
      <c r="AM45" s="180"/>
      <c r="AN45" s="188">
        <v>20.9476</v>
      </c>
      <c r="AO45" s="188"/>
      <c r="AQ45" s="17" t="str">
        <f>AJ45</f>
        <v>O2</v>
      </c>
      <c r="AR45" s="17"/>
      <c r="AS45" s="180">
        <f>(100-AS43)*AU45/AU50</f>
        <v>20.67398169618531</v>
      </c>
      <c r="AT45" s="180"/>
      <c r="AU45" s="204">
        <f>AN45</f>
        <v>20.9476</v>
      </c>
      <c r="AV45" s="204"/>
    </row>
    <row r="46" spans="1:48" ht="9.75" customHeight="1">
      <c r="A46" s="1"/>
      <c r="B46" s="1"/>
      <c r="C46" s="1"/>
      <c r="D46" s="194" t="s">
        <v>123</v>
      </c>
      <c r="E46" s="194"/>
      <c r="F46" s="194"/>
      <c r="G46" s="1"/>
      <c r="H46" s="1"/>
      <c r="I46" s="1"/>
      <c r="J46" s="23" t="s">
        <v>153</v>
      </c>
      <c r="K46" s="197">
        <f>AB46</f>
        <v>0.008250692762552414</v>
      </c>
      <c r="L46" s="197"/>
      <c r="M46" s="1"/>
      <c r="N46" s="17" t="s">
        <v>282</v>
      </c>
      <c r="O46" s="17"/>
      <c r="P46" s="17"/>
      <c r="Q46" s="17"/>
      <c r="R46" s="17"/>
      <c r="S46" s="121" t="str">
        <f>D44</f>
        <v>W1</v>
      </c>
      <c r="T46" s="149">
        <f>maprop(T43,AD43,T44,T45,AD45,8)</f>
        <v>0.0035559008856831374</v>
      </c>
      <c r="U46" s="149"/>
      <c r="V46" s="17"/>
      <c r="W46" s="121" t="str">
        <f>D50</f>
        <v>W2</v>
      </c>
      <c r="X46" s="149">
        <f>maprop(X43,AD43,X44,X45,AD45,8)</f>
        <v>0.009883207516699015</v>
      </c>
      <c r="Y46" s="149"/>
      <c r="Z46" s="17"/>
      <c r="AA46" s="121" t="str">
        <f>J46</f>
        <v>W3</v>
      </c>
      <c r="AB46" s="149">
        <f>(T49*T46+X49*X46)/(T49+X49)</f>
        <v>0.008250692762552414</v>
      </c>
      <c r="AC46" s="149"/>
      <c r="AD46" s="17" t="s">
        <v>42</v>
      </c>
      <c r="AE46" s="17"/>
      <c r="AF46" s="17"/>
      <c r="AG46" s="17"/>
      <c r="AI46" s="131">
        <f>maprop(AB43,AD43,AB44,AB45,AD45,8)</f>
        <v>0.00825069276255237</v>
      </c>
      <c r="AJ46" s="17" t="s">
        <v>137</v>
      </c>
      <c r="AK46" s="17"/>
      <c r="AL46" s="180">
        <f>(100-AL43)*AN46/AN50</f>
        <v>0.9287184348159111</v>
      </c>
      <c r="AM46" s="180"/>
      <c r="AN46" s="188">
        <v>0.934</v>
      </c>
      <c r="AO46" s="188"/>
      <c r="AQ46" s="17" t="str">
        <f>AJ46</f>
        <v>Ar</v>
      </c>
      <c r="AR46" s="17"/>
      <c r="AS46" s="180">
        <f>(100-AS43)*AU46/AU50</f>
        <v>0.9218000584428325</v>
      </c>
      <c r="AT46" s="180"/>
      <c r="AU46" s="204">
        <f>AN46</f>
        <v>0.934</v>
      </c>
      <c r="AV46" s="204"/>
    </row>
    <row r="47" spans="1:48" ht="9.75" customHeight="1">
      <c r="A47" s="6"/>
      <c r="B47" s="6"/>
      <c r="C47" s="1"/>
      <c r="G47" s="1"/>
      <c r="H47" s="1"/>
      <c r="I47" s="1"/>
      <c r="J47" s="1"/>
      <c r="K47" s="1"/>
      <c r="L47" s="1"/>
      <c r="M47" s="1"/>
      <c r="N47" s="69" t="s">
        <v>135</v>
      </c>
      <c r="O47" s="69"/>
      <c r="P47" s="69"/>
      <c r="Q47" s="17" t="s">
        <v>185</v>
      </c>
      <c r="R47" s="69"/>
      <c r="S47" s="17"/>
      <c r="T47" s="176">
        <f>AL55/AL54</f>
        <v>8000</v>
      </c>
      <c r="U47" s="176"/>
      <c r="V47" s="69"/>
      <c r="W47" s="17"/>
      <c r="X47" s="176">
        <f>AL72/AL71</f>
        <v>25000</v>
      </c>
      <c r="Y47" s="176"/>
      <c r="Z47" s="69"/>
      <c r="AA47" s="73"/>
      <c r="AB47" s="176">
        <f>AS55/AS54</f>
        <v>33000.886923447484</v>
      </c>
      <c r="AC47" s="176"/>
      <c r="AD47" s="17" t="s">
        <v>186</v>
      </c>
      <c r="AE47" s="17"/>
      <c r="AF47" s="17"/>
      <c r="AG47" s="17"/>
      <c r="AJ47" s="17" t="s">
        <v>138</v>
      </c>
      <c r="AK47" s="17"/>
      <c r="AL47" s="180">
        <f>(100-AL43)*AN47/AN50</f>
        <v>0.031222439885674098</v>
      </c>
      <c r="AM47" s="180"/>
      <c r="AN47" s="188">
        <v>0.0314</v>
      </c>
      <c r="AO47" s="188"/>
      <c r="AQ47" s="17" t="str">
        <f>AJ47</f>
        <v>CO2</v>
      </c>
      <c r="AR47" s="17"/>
      <c r="AS47" s="180">
        <f>(100-AS43)*AU47/AU50</f>
        <v>0.03098985207184683</v>
      </c>
      <c r="AT47" s="180"/>
      <c r="AU47" s="204">
        <f>AN47</f>
        <v>0.0314</v>
      </c>
      <c r="AV47" s="204"/>
    </row>
    <row r="48" spans="1:48" ht="9.75" customHeight="1">
      <c r="A48" s="1"/>
      <c r="B48" s="1"/>
      <c r="D48" s="23" t="s">
        <v>150</v>
      </c>
      <c r="E48" s="195">
        <f>X49</f>
        <v>29134.63059403867</v>
      </c>
      <c r="F48" s="195"/>
      <c r="J48" s="1"/>
      <c r="K48" s="1"/>
      <c r="L48" s="1"/>
      <c r="M48" s="1"/>
      <c r="N48" s="17" t="s">
        <v>188</v>
      </c>
      <c r="O48" s="17"/>
      <c r="P48" s="17"/>
      <c r="Q48" s="17"/>
      <c r="R48" s="17"/>
      <c r="S48" s="17"/>
      <c r="T48" s="180">
        <f>maprop(T43,AD43,T44,T45,AD45,1)</f>
        <v>0.7896592018901075</v>
      </c>
      <c r="U48" s="180"/>
      <c r="V48" s="17"/>
      <c r="W48" s="17"/>
      <c r="X48" s="180">
        <f>maprop(X43,AD43,X44,X45,AD45,1)</f>
        <v>0.8580853606263101</v>
      </c>
      <c r="Y48" s="180"/>
      <c r="Z48" s="17"/>
      <c r="AA48" s="17"/>
      <c r="AB48" s="180">
        <f>maprop(AB43,AD43,AB44,AB45,AD45,1)</f>
        <v>0.8404532463277</v>
      </c>
      <c r="AC48" s="180"/>
      <c r="AD48" s="17" t="s">
        <v>187</v>
      </c>
      <c r="AE48" s="17"/>
      <c r="AF48" s="17"/>
      <c r="AG48" s="17"/>
      <c r="AJ48" s="30"/>
      <c r="AK48" s="30"/>
      <c r="AL48" s="184"/>
      <c r="AM48" s="184"/>
      <c r="AN48" s="182"/>
      <c r="AO48" s="182"/>
      <c r="AQ48" s="30"/>
      <c r="AR48" s="30"/>
      <c r="AS48" s="184"/>
      <c r="AT48" s="184"/>
      <c r="AU48" s="182"/>
      <c r="AV48" s="182"/>
    </row>
    <row r="49" spans="1:48" ht="9.75" customHeight="1">
      <c r="A49" s="6"/>
      <c r="B49" s="6"/>
      <c r="D49" s="23" t="s">
        <v>28</v>
      </c>
      <c r="E49" s="196">
        <f>X50</f>
        <v>12.01775027911138</v>
      </c>
      <c r="F49" s="196"/>
      <c r="J49" s="1"/>
      <c r="K49" s="1"/>
      <c r="L49" s="1"/>
      <c r="M49" s="1"/>
      <c r="N49" s="17" t="s">
        <v>189</v>
      </c>
      <c r="O49" s="17"/>
      <c r="P49" s="17"/>
      <c r="Q49" s="17"/>
      <c r="R49" s="17"/>
      <c r="S49" s="121" t="str">
        <f>D42</f>
        <v>ma1</v>
      </c>
      <c r="T49" s="176">
        <f>T47/T48</f>
        <v>10130.952670280307</v>
      </c>
      <c r="U49" s="176"/>
      <c r="V49" s="17"/>
      <c r="W49" s="121" t="str">
        <f>D48</f>
        <v>ma2</v>
      </c>
      <c r="X49" s="176">
        <f>X47/X48</f>
        <v>29134.63059403867</v>
      </c>
      <c r="Y49" s="176"/>
      <c r="Z49" s="17"/>
      <c r="AA49" s="122" t="str">
        <f>J44</f>
        <v>ma3</v>
      </c>
      <c r="AB49" s="176">
        <f>AB47/AB48</f>
        <v>39265.583264318964</v>
      </c>
      <c r="AC49" s="176"/>
      <c r="AD49" s="17" t="s">
        <v>190</v>
      </c>
      <c r="AE49" s="17"/>
      <c r="AF49" s="17"/>
      <c r="AG49" s="17"/>
      <c r="AI49" s="128">
        <f>T49+X49</f>
        <v>39265.58326431898</v>
      </c>
      <c r="AJ49" s="31"/>
      <c r="AK49" s="31"/>
      <c r="AL49" s="200"/>
      <c r="AM49" s="200"/>
      <c r="AN49" s="183"/>
      <c r="AO49" s="183"/>
      <c r="AQ49" s="31"/>
      <c r="AR49" s="31"/>
      <c r="AS49" s="200"/>
      <c r="AT49" s="200"/>
      <c r="AU49" s="183"/>
      <c r="AV49" s="183"/>
    </row>
    <row r="50" spans="1:48" ht="9.75" customHeight="1">
      <c r="A50" s="6"/>
      <c r="B50" s="6"/>
      <c r="C50" s="1"/>
      <c r="D50" s="23" t="s">
        <v>29</v>
      </c>
      <c r="E50" s="197">
        <f>X46</f>
        <v>0.009883207516699015</v>
      </c>
      <c r="F50" s="197"/>
      <c r="H50" s="1"/>
      <c r="I50" s="1"/>
      <c r="J50" s="1"/>
      <c r="K50" s="1"/>
      <c r="L50" s="1"/>
      <c r="M50" s="1"/>
      <c r="N50" s="207" t="s">
        <v>281</v>
      </c>
      <c r="O50" s="207"/>
      <c r="P50" s="207"/>
      <c r="Q50" s="17"/>
      <c r="R50" s="17"/>
      <c r="S50" s="121" t="str">
        <f>D43</f>
        <v>h1</v>
      </c>
      <c r="T50" s="191">
        <f>maprop(T43,AD43,T44,T45,AD45,3)</f>
        <v>3.0914491895500937</v>
      </c>
      <c r="U50" s="191"/>
      <c r="V50" s="17"/>
      <c r="W50" s="121" t="str">
        <f>D49</f>
        <v>h2</v>
      </c>
      <c r="X50" s="191">
        <f>maprop(X43,AD43,X44,X45,AD45,3)</f>
        <v>12.01775027911138</v>
      </c>
      <c r="Y50" s="191"/>
      <c r="Z50" s="17"/>
      <c r="AA50" s="121" t="str">
        <f>J45</f>
        <v>h3</v>
      </c>
      <c r="AB50" s="191">
        <f>maprop(AB43,AD43,AB44,AB45,AD45,3)</f>
        <v>9.715461751458912</v>
      </c>
      <c r="AC50" s="191"/>
      <c r="AD50" s="17" t="s">
        <v>41</v>
      </c>
      <c r="AE50" s="17"/>
      <c r="AF50" s="17"/>
      <c r="AG50" s="17"/>
      <c r="AJ50" s="28" t="s">
        <v>142</v>
      </c>
      <c r="AK50" s="28"/>
      <c r="AL50" s="186">
        <f>SUM(AL43:AM49)</f>
        <v>100</v>
      </c>
      <c r="AM50" s="186"/>
      <c r="AN50" s="185">
        <f>SUM(AN43:AP49)</f>
        <v>99.997</v>
      </c>
      <c r="AO50" s="185"/>
      <c r="AQ50" s="28" t="s">
        <v>142</v>
      </c>
      <c r="AR50" s="28"/>
      <c r="AS50" s="186">
        <f>SUM(AS43:AT49)</f>
        <v>99.99999999999999</v>
      </c>
      <c r="AT50" s="186"/>
      <c r="AU50" s="185">
        <f>SUM(AU43:AW49)</f>
        <v>99.997</v>
      </c>
      <c r="AV50" s="185"/>
    </row>
    <row r="51" spans="1:48" ht="9.75" customHeight="1">
      <c r="A51" s="1"/>
      <c r="B51" s="1"/>
      <c r="C51" s="1"/>
      <c r="E51" s="1"/>
      <c r="F51" s="1"/>
      <c r="H51" s="1"/>
      <c r="I51" s="1"/>
      <c r="N51" s="209"/>
      <c r="O51" s="209"/>
      <c r="P51" s="209"/>
      <c r="Q51" s="17"/>
      <c r="R51" s="17"/>
      <c r="S51" s="17"/>
      <c r="T51" s="191">
        <f>T50*4.1868</f>
        <v>12.943279466808333</v>
      </c>
      <c r="U51" s="191"/>
      <c r="V51" s="17"/>
      <c r="W51" s="17"/>
      <c r="X51" s="191">
        <f>X50*4.1868</f>
        <v>50.31591686858353</v>
      </c>
      <c r="Y51" s="191"/>
      <c r="Z51" s="17"/>
      <c r="AA51" s="17"/>
      <c r="AB51" s="191">
        <f>AB50*4.1868</f>
        <v>40.67669526100817</v>
      </c>
      <c r="AC51" s="191"/>
      <c r="AD51" s="17" t="s">
        <v>288</v>
      </c>
      <c r="AE51" s="17"/>
      <c r="AF51" s="17"/>
      <c r="AG51" s="17"/>
      <c r="AJ51" s="29" t="s">
        <v>143</v>
      </c>
      <c r="AK51" s="29"/>
      <c r="AL51" s="187">
        <f>gmconv(AJ43,AJ44,AJ45,AJ46,AJ47,"","","","","",AL43,AL44,AL45,AL46,AL47,0,0,0,0,0,AL42,-1)</f>
        <v>28.902522199638835</v>
      </c>
      <c r="AM51" s="187"/>
      <c r="AN51" s="29"/>
      <c r="AO51" s="32"/>
      <c r="AP51" s="1"/>
      <c r="AQ51" s="29" t="s">
        <v>143</v>
      </c>
      <c r="AR51" s="29"/>
      <c r="AS51" s="187">
        <f>gmconv(AQ43,AQ44,AQ45,AQ46,AQ47,"","","","","",AS43,AS44,AS45,AS46,AS47,0,0,0,0,0,AS42,-1)</f>
        <v>28.821418401277167</v>
      </c>
      <c r="AT51" s="187"/>
      <c r="AU51" s="29"/>
      <c r="AV51" s="32"/>
    </row>
    <row r="52" spans="1:48" ht="9.75" customHeight="1">
      <c r="A52" s="6"/>
      <c r="B52" s="6"/>
      <c r="C52" s="1"/>
      <c r="E52" s="1"/>
      <c r="F52" s="1"/>
      <c r="H52" s="1"/>
      <c r="I52" s="1"/>
      <c r="J52" s="1"/>
      <c r="K52" s="1"/>
      <c r="N52" s="33" t="str">
        <f>AJ56</f>
        <v>Heat Capacity</v>
      </c>
      <c r="O52" s="33"/>
      <c r="P52" s="33"/>
      <c r="Q52" s="33"/>
      <c r="R52" s="33"/>
      <c r="S52" s="126"/>
      <c r="T52" s="219">
        <f>T49*T50</f>
        <v>31319.325421908412</v>
      </c>
      <c r="U52" s="219"/>
      <c r="V52" s="33"/>
      <c r="W52" s="33"/>
      <c r="X52" s="219">
        <f>X49*X50</f>
        <v>350132.7149533152</v>
      </c>
      <c r="Y52" s="219"/>
      <c r="Z52" s="33"/>
      <c r="AA52" s="126"/>
      <c r="AB52" s="219">
        <f>T52+X52</f>
        <v>381452.0403752236</v>
      </c>
      <c r="AC52" s="219"/>
      <c r="AD52" s="33" t="s">
        <v>279</v>
      </c>
      <c r="AE52" s="33"/>
      <c r="AF52" s="33"/>
      <c r="AG52" s="33"/>
      <c r="AI52" s="128">
        <f>T52+X52</f>
        <v>381452.0403752236</v>
      </c>
      <c r="AJ52" s="17" t="s">
        <v>139</v>
      </c>
      <c r="AK52" s="17"/>
      <c r="AL52" s="181">
        <f>gmconv(AJ43,AJ44,AJ45,AJ46,AJ47,"","","","","",AL43,AL44,AL45,AL46,AL47,0,0,0,0,0,AL42,-2)</f>
        <v>1.2894950215843894</v>
      </c>
      <c r="AM52" s="181"/>
      <c r="AN52" s="17" t="s">
        <v>278</v>
      </c>
      <c r="AO52" s="17"/>
      <c r="AP52" s="1"/>
      <c r="AQ52" s="17" t="s">
        <v>139</v>
      </c>
      <c r="AR52" s="17"/>
      <c r="AS52" s="181">
        <f>gmconv(AQ43,AQ44,AQ45,AQ46,AQ47,"","","","","",AS43,AS44,AS45,AS46,AS47,0,0,0,0,0,AS42,-2)</f>
        <v>1.2858765503832752</v>
      </c>
      <c r="AT52" s="181"/>
      <c r="AU52" s="17" t="s">
        <v>278</v>
      </c>
      <c r="AV52" s="17"/>
    </row>
    <row r="53" spans="1:48" ht="9.75" customHeight="1">
      <c r="A53" s="1"/>
      <c r="B53" s="1"/>
      <c r="C53" s="66" t="s">
        <v>192</v>
      </c>
      <c r="I53" s="1"/>
      <c r="Q53" s="1"/>
      <c r="V53" s="6"/>
      <c r="Z53" s="1"/>
      <c r="AJ53" s="33" t="s">
        <v>144</v>
      </c>
      <c r="AK53" s="33"/>
      <c r="AL53" s="177" t="str">
        <f>gmprop(T43,AD43,T45,AD45,AJ43,AJ44,AJ45,AJ46,AJ47,"","","","","",AL43,AL44,AL45,AL46,AL47,0,0,0,0,0,AL42,-4)</f>
        <v>- N/A -</v>
      </c>
      <c r="AM53" s="177"/>
      <c r="AN53" s="34" t="s">
        <v>120</v>
      </c>
      <c r="AO53" s="35"/>
      <c r="AP53" s="1"/>
      <c r="AQ53" s="33" t="s">
        <v>144</v>
      </c>
      <c r="AR53" s="33"/>
      <c r="AS53" s="177">
        <f>gmprop(AB43,AD43,AB45,AD45,AQ43,AQ44,AQ45,AQ46,AQ47,"","","","","",AS43,AS44,AS45,AS46,AS47,0,0,0,0,0,AS42,-4)</f>
        <v>11.154678888293859</v>
      </c>
      <c r="AT53" s="177"/>
      <c r="AU53" s="34" t="s">
        <v>120</v>
      </c>
      <c r="AV53" s="35"/>
    </row>
    <row r="54" spans="1:47" ht="9.75" customHeight="1">
      <c r="A54" s="1"/>
      <c r="B54" s="1"/>
      <c r="I54" s="1"/>
      <c r="R54" s="1"/>
      <c r="W54" s="1"/>
      <c r="AE54" s="1"/>
      <c r="AJ54" s="17" t="s">
        <v>139</v>
      </c>
      <c r="AK54" s="17"/>
      <c r="AL54" s="180">
        <f>gmprop(T43,AD43,T45,AD45,AJ43,AJ44,AJ45,AJ46,AJ47,"","","","","",AL43,AL44,AL45,AL46,AL47,0,0,0,0,0,AL42,2)</f>
        <v>1.2708842328911274</v>
      </c>
      <c r="AM54" s="180"/>
      <c r="AN54" s="17" t="s">
        <v>140</v>
      </c>
      <c r="AO54" s="6"/>
      <c r="AP54" s="1"/>
      <c r="AQ54" s="1" t="str">
        <f>AJ54</f>
        <v>Density</v>
      </c>
      <c r="AR54" s="1"/>
      <c r="AS54" s="180">
        <f>gmprop(AB43,AD43,AB45,AD45,AQ43,AQ44,AQ45,AQ46,AQ47,"","","","","",AS43,AS44,AS45,AS46,AS47,0,0,0,0,0,AS42,2)</f>
        <v>1.1996624760475156</v>
      </c>
      <c r="AT54" s="180"/>
      <c r="AU54" s="17" t="s">
        <v>140</v>
      </c>
    </row>
    <row r="55" spans="1:48" ht="9.75" customHeight="1">
      <c r="A55" s="6"/>
      <c r="B55" s="6"/>
      <c r="C55" s="6"/>
      <c r="D55" s="67" t="str">
        <f>D42</f>
        <v>ma1</v>
      </c>
      <c r="E55" s="67"/>
      <c r="F55" s="67" t="s">
        <v>274</v>
      </c>
      <c r="G55" s="67" t="str">
        <f>D48</f>
        <v>ma2</v>
      </c>
      <c r="H55" s="67"/>
      <c r="I55" s="67" t="s">
        <v>275</v>
      </c>
      <c r="J55" s="67" t="str">
        <f>J44</f>
        <v>ma3</v>
      </c>
      <c r="K55" s="67"/>
      <c r="L55" s="6"/>
      <c r="R55" s="1"/>
      <c r="W55" s="6"/>
      <c r="AJ55" s="69" t="s">
        <v>135</v>
      </c>
      <c r="AK55" s="17"/>
      <c r="AL55" s="176">
        <f>IF(AD42="kg/h",T42,IF(AD42="m3/h",T42*AL54,IF(AD42="Nm3/h",T42*AL52)))</f>
        <v>10167.073863129019</v>
      </c>
      <c r="AM55" s="176"/>
      <c r="AN55" s="70" t="s">
        <v>141</v>
      </c>
      <c r="AO55" s="129" t="s">
        <v>281</v>
      </c>
      <c r="AQ55" s="1" t="str">
        <f>AJ55</f>
        <v>Flowrate</v>
      </c>
      <c r="AR55" s="1"/>
      <c r="AS55" s="212">
        <f>AL55+AL72</f>
        <v>39589.92571834709</v>
      </c>
      <c r="AT55" s="212"/>
      <c r="AU55" s="70" t="s">
        <v>141</v>
      </c>
      <c r="AV55" s="129" t="str">
        <f>AO55</f>
        <v>Enthalpy</v>
      </c>
    </row>
    <row r="56" spans="1:48" ht="9.75" customHeight="1">
      <c r="A56" s="6"/>
      <c r="B56" s="6"/>
      <c r="C56" s="6"/>
      <c r="D56" s="67" t="str">
        <f>D55</f>
        <v>ma1</v>
      </c>
      <c r="E56" s="67" t="str">
        <f>D43</f>
        <v>h1</v>
      </c>
      <c r="F56" s="67" t="s">
        <v>274</v>
      </c>
      <c r="G56" s="67" t="str">
        <f>G55</f>
        <v>ma2</v>
      </c>
      <c r="H56" s="67" t="str">
        <f>D49</f>
        <v>h2</v>
      </c>
      <c r="I56" s="67" t="s">
        <v>275</v>
      </c>
      <c r="J56" s="67" t="str">
        <f>J55</f>
        <v>ma3</v>
      </c>
      <c r="K56" s="67" t="str">
        <f>J45</f>
        <v>h3</v>
      </c>
      <c r="L56" s="6"/>
      <c r="W56" s="6"/>
      <c r="AJ56" s="130" t="s">
        <v>280</v>
      </c>
      <c r="AK56" s="83"/>
      <c r="AL56" s="215">
        <f>AL55*AO56</f>
        <v>9796.82212339789</v>
      </c>
      <c r="AM56" s="215"/>
      <c r="AN56" s="83"/>
      <c r="AO56" s="83">
        <f>gmprop(T43,AD43,T45,AD45,AJ43,AJ44,AJ45,AJ46,AJ47,"","","","","",AL43,AL44,AL45,AL46,AL47,0,0,0,0,0,AL42,3)</f>
        <v>0.9635832546595486</v>
      </c>
      <c r="AQ56" s="83" t="str">
        <f>AJ56</f>
        <v>Heat Capacity</v>
      </c>
      <c r="AR56" s="83"/>
      <c r="AS56" s="216">
        <f>AS55*AV56</f>
        <v>187979.14202500883</v>
      </c>
      <c r="AT56" s="216"/>
      <c r="AU56" s="83"/>
      <c r="AV56" s="83">
        <f>gmprop(AB43,AD43,AB45,AD45,AQ43,AQ44,AQ45,AQ46,AQ47,"","","","","",AS43,AS44,AS45,AS46,AS47,0,0,0,0,0,AS42,3)</f>
        <v>4.748155966806828</v>
      </c>
    </row>
    <row r="57" spans="1:46" ht="9.75" customHeight="1">
      <c r="A57" s="1"/>
      <c r="B57" s="1"/>
      <c r="C57" s="6"/>
      <c r="D57" s="67" t="str">
        <f>D56</f>
        <v>ma1</v>
      </c>
      <c r="E57" s="67" t="str">
        <f>D44</f>
        <v>W1</v>
      </c>
      <c r="F57" s="67" t="s">
        <v>274</v>
      </c>
      <c r="G57" s="67" t="str">
        <f>G56</f>
        <v>ma2</v>
      </c>
      <c r="H57" s="67" t="str">
        <f>D50</f>
        <v>W2</v>
      </c>
      <c r="I57" s="67" t="s">
        <v>275</v>
      </c>
      <c r="J57" s="67" t="str">
        <f>J56</f>
        <v>ma3</v>
      </c>
      <c r="K57" s="67" t="str">
        <f>J46</f>
        <v>W3</v>
      </c>
      <c r="L57" s="6"/>
      <c r="W57" s="1"/>
      <c r="AS57" s="216">
        <f>AL56+AL73</f>
        <v>187971.927704539</v>
      </c>
      <c r="AT57" s="216"/>
    </row>
    <row r="58" spans="1:36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W58" s="6"/>
      <c r="AE58" s="1"/>
      <c r="AJ58" s="127" t="str">
        <f>D46</f>
        <v>State 2</v>
      </c>
    </row>
    <row r="59" spans="1:41" ht="9.75" customHeight="1">
      <c r="A59" s="6"/>
      <c r="B59" s="6"/>
      <c r="C59" s="217" t="s">
        <v>276</v>
      </c>
      <c r="D59" s="7" t="str">
        <f>H56</f>
        <v>h2</v>
      </c>
      <c r="E59" s="67" t="s">
        <v>277</v>
      </c>
      <c r="F59" s="67" t="str">
        <f>K56</f>
        <v>h3</v>
      </c>
      <c r="G59" s="218" t="s">
        <v>275</v>
      </c>
      <c r="H59" s="67" t="str">
        <f>H57</f>
        <v>W2</v>
      </c>
      <c r="I59" s="67" t="s">
        <v>277</v>
      </c>
      <c r="J59" s="67" t="str">
        <f>K57</f>
        <v>W3</v>
      </c>
      <c r="K59" s="218" t="s">
        <v>275</v>
      </c>
      <c r="L59" s="67" t="str">
        <f>D55</f>
        <v>ma1</v>
      </c>
      <c r="W59" s="6"/>
      <c r="AE59" s="1"/>
      <c r="AJ59" s="28" t="s">
        <v>126</v>
      </c>
      <c r="AK59" s="28"/>
      <c r="AL59" s="178" t="str">
        <f>AL42</f>
        <v>volume%</v>
      </c>
      <c r="AM59" s="178"/>
      <c r="AN59" s="190" t="s">
        <v>128</v>
      </c>
      <c r="AO59" s="190"/>
    </row>
    <row r="60" spans="1:41" ht="9.75" customHeight="1">
      <c r="A60" s="1"/>
      <c r="B60" s="1"/>
      <c r="C60" s="217"/>
      <c r="D60" s="125" t="str">
        <f>F59</f>
        <v>h3</v>
      </c>
      <c r="E60" s="125" t="s">
        <v>277</v>
      </c>
      <c r="F60" s="125" t="str">
        <f>E56</f>
        <v>h1</v>
      </c>
      <c r="G60" s="218"/>
      <c r="H60" s="125" t="str">
        <f>J59</f>
        <v>W3</v>
      </c>
      <c r="I60" s="125" t="s">
        <v>277</v>
      </c>
      <c r="J60" s="125" t="str">
        <f>E57</f>
        <v>W1</v>
      </c>
      <c r="K60" s="218"/>
      <c r="L60" s="125" t="str">
        <f>G55</f>
        <v>ma2</v>
      </c>
      <c r="W60" s="1"/>
      <c r="AE60" s="1"/>
      <c r="AJ60" s="29" t="str">
        <f>AJ43</f>
        <v>H2O</v>
      </c>
      <c r="AK60" s="29"/>
      <c r="AL60" s="179">
        <f>((fprop("Saturated","H2O",X43,AD43,0,"","Yes",0,1,10)+1.033227)*X44/100)/(pressconv(X45,AD45,"kg/cm2.g")+1.033227)*100</f>
        <v>1.5641491458463115</v>
      </c>
      <c r="AM60" s="179"/>
      <c r="AN60" s="211">
        <f>AN43</f>
        <v>0</v>
      </c>
      <c r="AO60" s="211"/>
    </row>
    <row r="61" spans="1:41" ht="9.75" customHeight="1">
      <c r="A61" s="6"/>
      <c r="B61" s="6"/>
      <c r="W61" s="6"/>
      <c r="AE61" s="1"/>
      <c r="AJ61" s="17" t="str">
        <f>AJ44</f>
        <v>N2</v>
      </c>
      <c r="AK61" s="17"/>
      <c r="AL61" s="180">
        <f>(100-AL60)*AN61/AN67</f>
        <v>76.86495572962926</v>
      </c>
      <c r="AM61" s="180"/>
      <c r="AN61" s="204">
        <f>AN44</f>
        <v>78.084</v>
      </c>
      <c r="AO61" s="204"/>
    </row>
    <row r="62" spans="1:41" ht="9.75" customHeight="1">
      <c r="A62" s="6"/>
      <c r="B62" s="6"/>
      <c r="C62" s="6"/>
      <c r="AE62" s="1"/>
      <c r="AJ62" s="17" t="str">
        <f>AJ45</f>
        <v>O2</v>
      </c>
      <c r="AK62" s="17"/>
      <c r="AL62" s="180">
        <f>(100-AL60)*AN62/AN67</f>
        <v>20.620566910532016</v>
      </c>
      <c r="AM62" s="180"/>
      <c r="AN62" s="204">
        <f>AN45</f>
        <v>20.9476</v>
      </c>
      <c r="AO62" s="204"/>
    </row>
    <row r="63" spans="1:41" ht="9.75" customHeight="1">
      <c r="A63" s="1"/>
      <c r="B63" s="1"/>
      <c r="C63" s="1"/>
      <c r="AE63" s="1"/>
      <c r="AJ63" s="17" t="str">
        <f>AJ46</f>
        <v>Ar</v>
      </c>
      <c r="AK63" s="17"/>
      <c r="AL63" s="180">
        <f>(100-AL60)*AN63/AN67</f>
        <v>0.9194184295306814</v>
      </c>
      <c r="AM63" s="180"/>
      <c r="AN63" s="204">
        <f>AN46</f>
        <v>0.934</v>
      </c>
      <c r="AO63" s="204"/>
    </row>
    <row r="64" spans="1:41" ht="9.75" customHeight="1">
      <c r="A64" s="6"/>
      <c r="B64" s="6"/>
      <c r="C64" s="6"/>
      <c r="AE64" s="1"/>
      <c r="AJ64" s="17" t="str">
        <f>AJ47</f>
        <v>CO2</v>
      </c>
      <c r="AK64" s="17"/>
      <c r="AL64" s="180">
        <f>(100-AL60)*AN64/AN67</f>
        <v>0.030909784461738105</v>
      </c>
      <c r="AM64" s="180"/>
      <c r="AN64" s="204">
        <f>AN47</f>
        <v>0.0314</v>
      </c>
      <c r="AO64" s="204"/>
    </row>
    <row r="65" spans="1:41" ht="9.75" customHeight="1">
      <c r="A65" s="6"/>
      <c r="B65" s="6"/>
      <c r="C65" s="6"/>
      <c r="AE65" s="1"/>
      <c r="AJ65" s="30"/>
      <c r="AK65" s="30"/>
      <c r="AL65" s="184"/>
      <c r="AM65" s="184"/>
      <c r="AN65" s="182"/>
      <c r="AO65" s="182"/>
    </row>
    <row r="66" spans="1:41" ht="9.75" customHeight="1">
      <c r="A66" s="1"/>
      <c r="B66" s="1"/>
      <c r="C66" s="1"/>
      <c r="AE66" s="1"/>
      <c r="AJ66" s="31"/>
      <c r="AK66" s="31"/>
      <c r="AL66" s="200"/>
      <c r="AM66" s="200"/>
      <c r="AN66" s="183"/>
      <c r="AO66" s="183"/>
    </row>
    <row r="67" spans="1:41" ht="9.75" customHeight="1">
      <c r="A67" s="6"/>
      <c r="B67" s="6"/>
      <c r="C67" s="6"/>
      <c r="AE67" s="1"/>
      <c r="AJ67" s="28" t="s">
        <v>142</v>
      </c>
      <c r="AK67" s="28"/>
      <c r="AL67" s="186">
        <f>SUM(AL60:AM66)</f>
        <v>100.00000000000001</v>
      </c>
      <c r="AM67" s="186"/>
      <c r="AN67" s="185">
        <f>SUM(AN60:AP66)</f>
        <v>99.997</v>
      </c>
      <c r="AO67" s="185"/>
    </row>
    <row r="68" spans="1:41" ht="9.75" customHeight="1">
      <c r="A68" s="6"/>
      <c r="B68" s="6"/>
      <c r="C68" s="6"/>
      <c r="AE68" s="1"/>
      <c r="AJ68" s="29" t="s">
        <v>143</v>
      </c>
      <c r="AK68" s="29"/>
      <c r="AL68" s="187">
        <f>gmconv(AJ60,AJ61,AJ62,AJ63,AJ64,"","","","","",AL60,AL61,AL62,AL63,AL64,0,0,0,0,0,AL59,-1)</f>
        <v>28.79349867840474</v>
      </c>
      <c r="AM68" s="187"/>
      <c r="AN68" s="29"/>
      <c r="AO68" s="32"/>
    </row>
    <row r="69" spans="1:41" ht="9.75" customHeight="1">
      <c r="A69" s="1"/>
      <c r="B69" s="1"/>
      <c r="C69" s="1"/>
      <c r="AE69" s="1"/>
      <c r="AJ69" s="17" t="s">
        <v>139</v>
      </c>
      <c r="AK69" s="17"/>
      <c r="AL69" s="181">
        <f>gmconv(AJ60,AJ61,AJ62,AJ63,AJ64,"","","","","",AL60,AL61,AL62,AL63,AL64,0,0,0,0,0,AL59,-2)</f>
        <v>1.2846309032594938</v>
      </c>
      <c r="AM69" s="181"/>
      <c r="AN69" s="17" t="s">
        <v>278</v>
      </c>
      <c r="AO69" s="17"/>
    </row>
    <row r="70" spans="1:41" ht="9.75" customHeight="1">
      <c r="A70" s="6"/>
      <c r="B70" s="6"/>
      <c r="C70" s="6"/>
      <c r="AE70" s="1"/>
      <c r="AJ70" s="33" t="s">
        <v>144</v>
      </c>
      <c r="AK70" s="33"/>
      <c r="AL70" s="177">
        <f>gmprop(X43,AD43,X45,AD45,AJ60,AJ61,AJ62,AJ63,AJ64,"","","","","",AL60,AL61,AL62,AL63,AL64,0,0,0,0,0,AL42,-4)</f>
        <v>13.863908273013408</v>
      </c>
      <c r="AM70" s="177"/>
      <c r="AN70" s="34" t="s">
        <v>120</v>
      </c>
      <c r="AO70" s="35"/>
    </row>
    <row r="71" spans="1:40" ht="9.75" customHeight="1">
      <c r="A71" s="6"/>
      <c r="B71" s="6"/>
      <c r="C71" s="6"/>
      <c r="AE71" s="1"/>
      <c r="AJ71" s="17" t="s">
        <v>139</v>
      </c>
      <c r="AK71" s="17"/>
      <c r="AL71" s="180">
        <f>gmprop(X43,AD43,X45,AD45,AJ60,AJ61,AJ62,AJ63,AJ64,"","","","","",AL60,AL61,AL62,AL63,AL64,0,0,0,0,0,AL59,2)</f>
        <v>1.176914074208723</v>
      </c>
      <c r="AM71" s="180"/>
      <c r="AN71" s="17" t="s">
        <v>140</v>
      </c>
    </row>
    <row r="72" spans="1:41" ht="9.75" customHeight="1">
      <c r="A72" s="1"/>
      <c r="B72" s="1"/>
      <c r="C72" s="1"/>
      <c r="AE72" s="1"/>
      <c r="AJ72" s="69" t="s">
        <v>135</v>
      </c>
      <c r="AK72" s="17"/>
      <c r="AL72" s="176">
        <f>IF(AD42="kg/h",X42,IF(AD42="m3/h",X42*AL71,IF(AD42="Nm3/h",X42*AL69)))</f>
        <v>29422.851855218076</v>
      </c>
      <c r="AM72" s="176"/>
      <c r="AN72" s="70" t="s">
        <v>141</v>
      </c>
      <c r="AO72" s="129" t="str">
        <f>AO55</f>
        <v>Enthalpy</v>
      </c>
    </row>
    <row r="73" spans="1:41" ht="9.75" customHeight="1">
      <c r="A73" s="6"/>
      <c r="B73" s="6"/>
      <c r="C73" s="6"/>
      <c r="D73" s="1"/>
      <c r="AE73" s="1"/>
      <c r="AJ73" s="83" t="str">
        <f>AJ56</f>
        <v>Heat Capacity</v>
      </c>
      <c r="AK73" s="83"/>
      <c r="AL73" s="215">
        <f>AL72*AO73</f>
        <v>178175.1055811411</v>
      </c>
      <c r="AM73" s="215"/>
      <c r="AN73" s="83"/>
      <c r="AO73" s="83">
        <f>gmprop(X43,AD43,X45,AD45,AJ60,AJ61,AJ62,AJ63,AJ64,"","","","","",AL60,AL61,AL62,AL63,AL64,0,0,0,0,0,AL59,3)</f>
        <v>6.055670825448627</v>
      </c>
    </row>
    <row r="74" spans="1:31" ht="9.75" customHeight="1">
      <c r="A74" s="6"/>
      <c r="B74" s="6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E74" s="1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130">
    <mergeCell ref="AB52:AC52"/>
    <mergeCell ref="E48:F48"/>
    <mergeCell ref="E49:F49"/>
    <mergeCell ref="E50:F50"/>
    <mergeCell ref="T52:U52"/>
    <mergeCell ref="X52:Y52"/>
    <mergeCell ref="N50:P51"/>
    <mergeCell ref="T51:U51"/>
    <mergeCell ref="X51:Y51"/>
    <mergeCell ref="AB51:AC51"/>
    <mergeCell ref="AS54:AT54"/>
    <mergeCell ref="T47:U47"/>
    <mergeCell ref="AB47:AC47"/>
    <mergeCell ref="T48:U48"/>
    <mergeCell ref="AB48:AC48"/>
    <mergeCell ref="AL52:AM52"/>
    <mergeCell ref="AN50:AO50"/>
    <mergeCell ref="T49:U49"/>
    <mergeCell ref="AB49:AC49"/>
    <mergeCell ref="AL48:AM48"/>
    <mergeCell ref="E42:F42"/>
    <mergeCell ref="E43:F43"/>
    <mergeCell ref="E44:F44"/>
    <mergeCell ref="AL53:AM53"/>
    <mergeCell ref="AL42:AM42"/>
    <mergeCell ref="AL43:AM43"/>
    <mergeCell ref="AL44:AM44"/>
    <mergeCell ref="AL45:AM45"/>
    <mergeCell ref="AL46:AM46"/>
    <mergeCell ref="AL47:AM47"/>
    <mergeCell ref="T42:U42"/>
    <mergeCell ref="AB42:AC42"/>
    <mergeCell ref="AN48:AO48"/>
    <mergeCell ref="AN49:AO49"/>
    <mergeCell ref="T43:U43"/>
    <mergeCell ref="AB43:AC43"/>
    <mergeCell ref="X42:Y42"/>
    <mergeCell ref="X43:Y43"/>
    <mergeCell ref="AL49:AM49"/>
    <mergeCell ref="AN45:AO45"/>
    <mergeCell ref="AL54:AM54"/>
    <mergeCell ref="AN42:AO42"/>
    <mergeCell ref="AN43:AO43"/>
    <mergeCell ref="AN44:AO44"/>
    <mergeCell ref="AL50:AM50"/>
    <mergeCell ref="AL51:AM51"/>
    <mergeCell ref="AN46:AO46"/>
    <mergeCell ref="AN47:AO47"/>
    <mergeCell ref="AL55:AM55"/>
    <mergeCell ref="AS55:AT55"/>
    <mergeCell ref="T46:U46"/>
    <mergeCell ref="T50:U50"/>
    <mergeCell ref="AB46:AC46"/>
    <mergeCell ref="AB50:AC50"/>
    <mergeCell ref="X47:Y47"/>
    <mergeCell ref="X48:Y48"/>
    <mergeCell ref="X49:Y49"/>
    <mergeCell ref="X50:Y50"/>
    <mergeCell ref="D40:F40"/>
    <mergeCell ref="T41:U41"/>
    <mergeCell ref="AB41:AC41"/>
    <mergeCell ref="J40:L40"/>
    <mergeCell ref="X41:Y41"/>
    <mergeCell ref="N40:AG40"/>
    <mergeCell ref="K44:L44"/>
    <mergeCell ref="K45:L45"/>
    <mergeCell ref="K46:L46"/>
    <mergeCell ref="AB45:AC45"/>
    <mergeCell ref="T44:U44"/>
    <mergeCell ref="T45:U45"/>
    <mergeCell ref="AB44:AC44"/>
    <mergeCell ref="X44:Y44"/>
    <mergeCell ref="X45:Y45"/>
    <mergeCell ref="X46:Y46"/>
    <mergeCell ref="AC1:AH1"/>
    <mergeCell ref="A2:X4"/>
    <mergeCell ref="AC2:AH2"/>
    <mergeCell ref="AE4:AF4"/>
    <mergeCell ref="D46:F46"/>
    <mergeCell ref="C59:C60"/>
    <mergeCell ref="G59:G60"/>
    <mergeCell ref="K59:K60"/>
    <mergeCell ref="AL59:AM59"/>
    <mergeCell ref="AN59:AO59"/>
    <mergeCell ref="AL60:AM60"/>
    <mergeCell ref="AN60:AO60"/>
    <mergeCell ref="AL61:AM61"/>
    <mergeCell ref="AN61:AO61"/>
    <mergeCell ref="AL62:AM62"/>
    <mergeCell ref="AN62:AO62"/>
    <mergeCell ref="AL63:AM63"/>
    <mergeCell ref="AN63:AO63"/>
    <mergeCell ref="AL64:AM64"/>
    <mergeCell ref="AN64:AO64"/>
    <mergeCell ref="AL68:AM68"/>
    <mergeCell ref="AL69:AM69"/>
    <mergeCell ref="AL65:AM65"/>
    <mergeCell ref="AN65:AO65"/>
    <mergeCell ref="AL66:AM66"/>
    <mergeCell ref="AN66:AO66"/>
    <mergeCell ref="AS42:AT42"/>
    <mergeCell ref="AU42:AV42"/>
    <mergeCell ref="AS43:AT43"/>
    <mergeCell ref="AU43:AV43"/>
    <mergeCell ref="AU46:AV46"/>
    <mergeCell ref="AS47:AT47"/>
    <mergeCell ref="AU47:AV47"/>
    <mergeCell ref="AS44:AT44"/>
    <mergeCell ref="AU44:AV44"/>
    <mergeCell ref="AS45:AT45"/>
    <mergeCell ref="AU45:AV45"/>
    <mergeCell ref="AS46:AT46"/>
    <mergeCell ref="AU50:AV50"/>
    <mergeCell ref="AS51:AT51"/>
    <mergeCell ref="AS52:AT52"/>
    <mergeCell ref="AS48:AT48"/>
    <mergeCell ref="AU48:AV48"/>
    <mergeCell ref="AS49:AT49"/>
    <mergeCell ref="AU49:AV49"/>
    <mergeCell ref="AS50:AT50"/>
    <mergeCell ref="AL73:AM73"/>
    <mergeCell ref="AS56:AT56"/>
    <mergeCell ref="AS57:AT57"/>
    <mergeCell ref="AS53:AT53"/>
    <mergeCell ref="AL56:AM56"/>
    <mergeCell ref="AL70:AM70"/>
    <mergeCell ref="AL71:AM71"/>
    <mergeCell ref="AL72:AM72"/>
    <mergeCell ref="AL67:AM67"/>
    <mergeCell ref="AN67:AO67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H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34" width="2.3359375" style="2" customWidth="1"/>
    <col min="35" max="63" width="4.3359375" style="2" customWidth="1"/>
    <col min="64" max="16384" width="8.88671875" style="2" customWidth="1"/>
  </cols>
  <sheetData>
    <row r="1" spans="1:34" ht="9.75" customHeight="1">
      <c r="A1" s="77"/>
      <c r="B1" s="103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104" t="s">
        <v>245</v>
      </c>
      <c r="Z1" s="105"/>
      <c r="AA1" s="106"/>
      <c r="AB1" s="105"/>
      <c r="AC1" s="173" t="str">
        <f>docno</f>
        <v>TM - PSY - 200</v>
      </c>
      <c r="AD1" s="164"/>
      <c r="AE1" s="164"/>
      <c r="AF1" s="164"/>
      <c r="AG1" s="164"/>
      <c r="AH1" s="164"/>
    </row>
    <row r="2" spans="1:34" ht="9.75" customHeight="1">
      <c r="A2" s="167" t="str">
        <f>title</f>
        <v>P S Y C H R O M E T R I C S   :     P R O C E S S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/>
      <c r="Y2" s="107" t="s">
        <v>235</v>
      </c>
      <c r="Z2" s="17"/>
      <c r="AA2" s="108"/>
      <c r="AB2" s="17"/>
      <c r="AC2" s="174" t="s">
        <v>236</v>
      </c>
      <c r="AD2" s="165"/>
      <c r="AE2" s="165"/>
      <c r="AF2" s="165"/>
      <c r="AG2" s="165"/>
      <c r="AH2" s="165"/>
    </row>
    <row r="3" spans="1:34" ht="9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09" t="s">
        <v>237</v>
      </c>
      <c r="Z3" s="68"/>
      <c r="AA3" s="68"/>
      <c r="AB3" s="68"/>
      <c r="AC3" s="110">
        <v>0</v>
      </c>
      <c r="AD3" s="111">
        <v>1</v>
      </c>
      <c r="AE3" s="111"/>
      <c r="AF3" s="111"/>
      <c r="AG3" s="111"/>
      <c r="AH3" s="112"/>
    </row>
    <row r="4" spans="1:34" ht="9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13" t="s">
        <v>238</v>
      </c>
      <c r="Z4" s="114"/>
      <c r="AA4" s="115"/>
      <c r="AB4" s="114"/>
      <c r="AC4" s="116"/>
      <c r="AD4" s="117">
        <v>5</v>
      </c>
      <c r="AE4" s="171" t="s">
        <v>239</v>
      </c>
      <c r="AF4" s="171"/>
      <c r="AG4" s="120">
        <f>sheetqty</f>
        <v>5</v>
      </c>
      <c r="AH4" s="119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AH5" s="4"/>
    </row>
    <row r="6" spans="1:34" ht="9.75" customHeight="1">
      <c r="A6" s="6"/>
      <c r="B6" s="1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AH6" s="3"/>
    </row>
    <row r="7" spans="1:31" ht="9.75" customHeight="1">
      <c r="A7" s="6"/>
      <c r="B7" s="6"/>
      <c r="C7" s="6"/>
      <c r="AE7" s="1"/>
    </row>
    <row r="8" spans="1:33" ht="9.75" customHeight="1">
      <c r="A8" s="6"/>
      <c r="B8" s="6"/>
      <c r="C8" s="11" t="s">
        <v>184</v>
      </c>
      <c r="D8" s="14" t="s">
        <v>116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6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C10" s="3"/>
      <c r="AJ10" s="1"/>
      <c r="AK10" s="1"/>
      <c r="AL10" s="1"/>
      <c r="AM10" s="1"/>
      <c r="AN10" s="1"/>
      <c r="AO10" s="1"/>
      <c r="AP10" s="1"/>
      <c r="AQ10" s="1"/>
      <c r="AR10" s="1"/>
      <c r="AS10" s="8" t="s">
        <v>83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H10" s="1"/>
    </row>
    <row r="11" spans="1:6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  <c r="AJ11" s="23" t="s">
        <v>84</v>
      </c>
      <c r="AK11" s="137" t="str">
        <f>"Rh "&amp;AJ12&amp;" %"</f>
        <v>Rh 100 %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H11" s="1"/>
    </row>
    <row r="12" spans="1:60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  <c r="AJ12" s="20">
        <v>100</v>
      </c>
      <c r="AK12" s="36">
        <f>maprop(AK33,AO34,AJ12,AM35,AO35,8)</f>
        <v>0.0037749258179982426</v>
      </c>
      <c r="AL12" s="37">
        <f>maprop(AL33,AO34,AJ12,AM35,AO35,8)</f>
        <v>0.004209768684299504</v>
      </c>
      <c r="AM12" s="37">
        <f>maprop(AM33,AO34,AJ12,AM35,AO35,8)</f>
        <v>0.004688807792455753</v>
      </c>
      <c r="AN12" s="38">
        <f>maprop(AN33,AO34,AJ12,AM35,AO35,8)</f>
        <v>0.005215951723621687</v>
      </c>
      <c r="AO12" s="36">
        <f>maprop(AO33,AO34,AJ12,AM35,AO35,8)</f>
        <v>0.005795409834348085</v>
      </c>
      <c r="AP12" s="37">
        <f>maprop(AP33,AO34,AJ12,AM35,AO35,8)</f>
        <v>0.006431713789501151</v>
      </c>
      <c r="AQ12" s="37">
        <f>maprop(AQ33,AO34,AJ12,AM35,AO35,8)</f>
        <v>0.007129740904232154</v>
      </c>
      <c r="AR12" s="39">
        <f>maprop(AR33,AO34,AJ12,AM35,AO35,8)</f>
        <v>0.007894739515005198</v>
      </c>
      <c r="AS12" s="40">
        <f>maprop(AS33,AO34,AJ12,AM35,AO35,8)</f>
        <v>0.008732356632416888</v>
      </c>
      <c r="AT12" s="37">
        <f>maprop(AT33,AO34,AJ12,AM35,AO35,8)</f>
        <v>0.009648668166362331</v>
      </c>
      <c r="AU12" s="37">
        <f>maprop(AU33,AO34,AJ12,AM35,AO35,8)</f>
        <v>0.010650212057886601</v>
      </c>
      <c r="AV12" s="38">
        <f>maprop(AV33,AO34,AJ12,AM35,AO35,8)</f>
        <v>0.01174402470283785</v>
      </c>
      <c r="AW12" s="36">
        <f>maprop(AW33,AO34,AJ12,AM35,AO35,8)</f>
        <v>0.012937681111461029</v>
      </c>
      <c r="AX12" s="37">
        <f>maprop(AX33,AO34,AJ12,AM35,AO35,8)</f>
        <v>0.014239339316840783</v>
      </c>
      <c r="AY12" s="37">
        <f>maprop(AY33,AO34,AJ12,AM35,AO35,8)</f>
        <v>0.015657789625430702</v>
      </c>
      <c r="AZ12" s="39">
        <f>maprop(AZ33,AO34,AJ12,AM35,AO35,8)</f>
        <v>0.01720250939700732</v>
      </c>
      <c r="BA12" s="40">
        <f>maprop(BA33,AO34,AJ12,AM35,AO35,8)</f>
        <v>0.018883724151942574</v>
      </c>
      <c r="BB12" s="37">
        <f>maprop(BB33,AO34,AJ12,AM35,AO35,8)</f>
        <v>0.02071247593398786</v>
      </c>
      <c r="BC12" s="37">
        <f>maprop(BC33,AO34,AJ12,AM35,AO35,8)</f>
        <v>0.022700700010842845</v>
      </c>
      <c r="BD12" s="38">
        <f>maprop(BD33,AO34,AJ12,AM35,AO35,8)</f>
        <v>0.024861311177598634</v>
      </c>
      <c r="BE12" s="41">
        <f>maprop(BE33,AO34,AJ12,AM35,AO35,8)</f>
        <v>0.02720830114586835</v>
      </c>
      <c r="BH12" s="1"/>
    </row>
    <row r="13" spans="1:60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  <c r="AJ13" s="16">
        <f>AJ32+(AJ12-AJ32)/20*19</f>
        <v>95</v>
      </c>
      <c r="AK13" s="42">
        <f>maprop(AK33,AO34,AJ13,AM35,AO35,8)</f>
        <v>0.003585091585384782</v>
      </c>
      <c r="AL13" s="43">
        <f>maprop(AL33,AO34,AJ13,AM35,AO35,8)</f>
        <v>0.0039979272741397735</v>
      </c>
      <c r="AM13" s="43">
        <f>maprop(AM33,AO34,AJ13,AM35,AO35,8)</f>
        <v>0.004452689055856128</v>
      </c>
      <c r="AN13" s="44">
        <f>maprop(AN33,AO34,AJ13,AM35,AO35,8)</f>
        <v>0.004953077285101674</v>
      </c>
      <c r="AO13" s="42">
        <f>maprop(AO33,AO34,AJ13,AM35,AO35,8)</f>
        <v>0.005503075528250265</v>
      </c>
      <c r="AP13" s="43">
        <f>maprop(AP33,AO34,AJ13,AM35,AO35,8)</f>
        <v>0.0061069705554634614</v>
      </c>
      <c r="AQ13" s="43">
        <f>maprop(AQ33,AO34,AJ13,AM35,AO35,8)</f>
        <v>0.006769373970857878</v>
      </c>
      <c r="AR13" s="45">
        <f>maprop(AR33,AO34,AJ13,AM35,AO35,8)</f>
        <v>0.007495245676404803</v>
      </c>
      <c r="AS13" s="46">
        <f>maprop(AS33,AO34,AJ13,AM35,AO35,8)</f>
        <v>0.008289919393902072</v>
      </c>
      <c r="AT13" s="43">
        <f>maprop(AT33,AO34,AJ13,AM35,AO35,8)</f>
        <v>0.009159130502581133</v>
      </c>
      <c r="AU13" s="43">
        <f>maprop(AU33,AO34,AJ13,AM35,AO35,8)</f>
        <v>0.010109046488293456</v>
      </c>
      <c r="AV13" s="44">
        <f>maprop(AV33,AO34,AJ13,AM35,AO35,8)</f>
        <v>0.011146300344624828</v>
      </c>
      <c r="AW13" s="42">
        <f>maprop(AW33,AO34,AJ13,AM35,AO35,8)</f>
        <v>0.012278027317792775</v>
      </c>
      <c r="AX13" s="43">
        <f>maprop(AX33,AO34,AJ13,AM35,AO35,8)</f>
        <v>0.013511905447033378</v>
      </c>
      <c r="AY13" s="43">
        <f>maprop(AY33,AO34,AJ13,AM35,AO35,8)</f>
        <v>0.01485620042191741</v>
      </c>
      <c r="AZ13" s="45">
        <f>maprop(AZ33,AO34,AJ13,AM35,AO35,8)</f>
        <v>0.016319815359496892</v>
      </c>
      <c r="BA13" s="46">
        <f>maprop(BA33,AO34,AJ13,AM35,AO35,8)</f>
        <v>0.017912346199616465</v>
      </c>
      <c r="BB13" s="43">
        <f>maprop(BB33,AO34,AJ13,AM35,AO35,8)</f>
        <v>0.019644143528854276</v>
      </c>
      <c r="BC13" s="43">
        <f>maprop(BC33,AO34,AJ13,AM35,AO35,8)</f>
        <v>0.021526381775738783</v>
      </c>
      <c r="BD13" s="44">
        <f>maprop(BD33,AO34,AJ13,AM35,AO35,8)</f>
        <v>0.02357113687621403</v>
      </c>
      <c r="BE13" s="47">
        <f>maprop(BE33,AO34,AJ13,AM35,AO35,8)</f>
        <v>0.02579147369385556</v>
      </c>
      <c r="BH13" s="1"/>
    </row>
    <row r="14" spans="1:60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AC14" s="3"/>
      <c r="AJ14" s="16">
        <f>AJ32+(AJ12-AJ32)/20*18</f>
        <v>90</v>
      </c>
      <c r="AK14" s="48">
        <f>maprop(AK33,AO34,AJ14,AM35,AO35,8)</f>
        <v>0.003395372498119332</v>
      </c>
      <c r="AL14" s="49">
        <f>maprop(AL33,AO34,AJ14,AM35,AO35,8)</f>
        <v>0.003786229149463042</v>
      </c>
      <c r="AM14" s="49">
        <f>maprop(AM33,AO34,AJ14,AM35,AO35,8)</f>
        <v>0.004216748185100027</v>
      </c>
      <c r="AN14" s="50">
        <f>maprop(AN33,AO34,AJ14,AM35,AO35,8)</f>
        <v>0.004690423111238799</v>
      </c>
      <c r="AO14" s="48">
        <f>maprop(AO33,AO34,AJ14,AM35,AO35,8)</f>
        <v>0.005211013358410492</v>
      </c>
      <c r="AP14" s="49">
        <f>maprop(AP33,AO34,AJ14,AM35,AO35,8)</f>
        <v>0.005782562784642283</v>
      </c>
      <c r="AQ14" s="49">
        <f>maprop(AQ33,AO34,AJ14,AM35,AO35,8)</f>
        <v>0.0064094196553988346</v>
      </c>
      <c r="AR14" s="51">
        <f>maprop(AR33,AO34,AJ14,AM35,AO35,8)</f>
        <v>0.00709625827306725</v>
      </c>
      <c r="AS14" s="52">
        <f>maprop(AS33,AO34,AJ14,AM35,AO35,8)</f>
        <v>0.007848102453950867</v>
      </c>
      <c r="AT14" s="49">
        <f>maprop(AT33,AO34,AJ14,AM35,AO35,8)</f>
        <v>0.008670351079745309</v>
      </c>
      <c r="AU14" s="49">
        <f>maprop(AU33,AO34,AJ14,AM35,AO35,8)</f>
        <v>0.009568805983904086</v>
      </c>
      <c r="AV14" s="50">
        <f>maprop(AV33,AO34,AJ14,AM35,AO35,8)</f>
        <v>0.010549702471908113</v>
      </c>
      <c r="AW14" s="48">
        <f>maprop(AW33,AO34,AJ14,AM35,AO35,8)</f>
        <v>0.011619742819113344</v>
      </c>
      <c r="AX14" s="49">
        <f>maprop(AX33,AO34,AJ14,AM35,AO35,8)</f>
        <v>0.01278613314162832</v>
      </c>
      <c r="AY14" s="49">
        <f>maprop(AY33,AO34,AJ14,AM35,AO35,8)</f>
        <v>0.014056624095826923</v>
      </c>
      <c r="AZ14" s="51">
        <f>maprop(AZ33,AO34,AJ14,AM35,AO35,8)</f>
        <v>0.015439555932183331</v>
      </c>
      <c r="BA14" s="52">
        <f>maprop(BA33,AO34,AJ14,AM35,AO35,8)</f>
        <v>0.0169439085109635</v>
      </c>
      <c r="BB14" s="49">
        <f>maprop(BB33,AO34,AJ14,AM35,AO35,8)</f>
        <v>0.01857935698319135</v>
      </c>
      <c r="BC14" s="49">
        <f>maprop(BC33,AO34,AJ14,AM35,AO35,8)</f>
        <v>0.020356333952964135</v>
      </c>
      <c r="BD14" s="50">
        <f>maprop(BD33,AO34,AJ14,AM35,AO35,8)</f>
        <v>0.02228609906997946</v>
      </c>
      <c r="BE14" s="53">
        <f>maprop(BE33,AO34,AJ14,AM35,AO35,8)</f>
        <v>0.024380817158188784</v>
      </c>
      <c r="BH14" s="1"/>
    </row>
    <row r="15" spans="1:60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"/>
      <c r="W15" s="3"/>
      <c r="X15" s="3"/>
      <c r="Y15" s="3"/>
      <c r="Z15" s="3"/>
      <c r="AA15" s="3"/>
      <c r="AB15" s="3"/>
      <c r="AC15" s="3"/>
      <c r="AJ15" s="16">
        <f>AJ32+(AJ12-AJ32)/20*17</f>
        <v>85</v>
      </c>
      <c r="AK15" s="48">
        <f>maprop(AK33,AO34,AJ15,AM35,AO35,8)</f>
        <v>0.00320576845147</v>
      </c>
      <c r="AL15" s="49">
        <f>maprop(AL33,AO34,AJ15,AM35,AO35,8)</f>
        <v>0.0035746741649451096</v>
      </c>
      <c r="AM15" s="49">
        <f>maprop(AM33,AO34,AJ15,AM35,AO35,8)</f>
        <v>0.003980984979286049</v>
      </c>
      <c r="AN15" s="50">
        <f>maprop(AN33,AO34,AJ15,AM35,AO35,8)</f>
        <v>0.004427988925306916</v>
      </c>
      <c r="AO15" s="48">
        <f>maprop(AO33,AO34,AJ15,AM35,AO35,8)</f>
        <v>0.004919222945005082</v>
      </c>
      <c r="AP15" s="49">
        <f>maprop(AP33,AO34,AJ15,AM35,AO35,8)</f>
        <v>0.005458489957500348</v>
      </c>
      <c r="AQ15" s="49">
        <f>maprop(AQ33,AO34,AJ15,AM35,AO35,8)</f>
        <v>0.006049877249593052</v>
      </c>
      <c r="AR15" s="51">
        <f>maprop(AR33,AO34,AJ15,AM35,AO35,8)</f>
        <v>0.006697776342596153</v>
      </c>
      <c r="AS15" s="52">
        <f>maprop(AS33,AO34,AJ15,AM35,AO35,8)</f>
        <v>0.007406904508985796</v>
      </c>
      <c r="AT15" s="49">
        <f>maprop(AT33,AO34,AJ15,AM35,AO35,8)</f>
        <v>0.008182328137567885</v>
      </c>
      <c r="AU15" s="49">
        <f>maprop(AU33,AO34,AJ15,AM35,AO35,8)</f>
        <v>0.009029488174792629</v>
      </c>
      <c r="AV15" s="50">
        <f>maprop(AV33,AO34,AJ15,AM35,AO35,8)</f>
        <v>0.009954227903184037</v>
      </c>
      <c r="AW15" s="48">
        <f>maprop(AW33,AO34,AJ15,AM35,AO35,8)</f>
        <v>0.01096282335631439</v>
      </c>
      <c r="AX15" s="49">
        <f>maprop(AX33,AO34,AJ15,AM35,AO35,8)</f>
        <v>0.012062016714238679</v>
      </c>
      <c r="AY15" s="49">
        <f>maprop(AY33,AO34,AJ15,AM35,AO35,8)</f>
        <v>0.013259053074836439</v>
      </c>
      <c r="AZ15" s="51">
        <f>maprop(AZ33,AO34,AJ15,AM35,AO35,8)</f>
        <v>0.01456172105637688</v>
      </c>
      <c r="BA15" s="52">
        <f>maprop(BA33,AO34,AJ15,AM35,AO35,8)</f>
        <v>0.015978397756332547</v>
      </c>
      <c r="BB15" s="49">
        <f>maprop(BB33,AO34,AJ15,AM35,AO35,8)</f>
        <v>0.01751809867286586</v>
      </c>
      <c r="BC15" s="49">
        <f>maprop(BC33,AO34,AJ15,AM35,AO35,8)</f>
        <v>0.01919053329074252</v>
      </c>
      <c r="BD15" s="50">
        <f>maprop(BD33,AO34,AJ15,AM35,AO35,8)</f>
        <v>0.021006167145395212</v>
      </c>
      <c r="BE15" s="53">
        <f>maprop(BE33,AO34,AJ15,AM35,AO35,8)</f>
        <v>0.022976291310828467</v>
      </c>
      <c r="BH15" s="1"/>
    </row>
    <row r="16" spans="1:60" ht="9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3"/>
      <c r="W16" s="3"/>
      <c r="X16" s="3"/>
      <c r="Y16" s="3"/>
      <c r="Z16" s="3"/>
      <c r="AA16" s="3"/>
      <c r="AB16" s="3"/>
      <c r="AC16" s="3"/>
      <c r="AJ16" s="16">
        <f>AJ32+(AJ12-AJ32)/20*16</f>
        <v>80</v>
      </c>
      <c r="AK16" s="36">
        <f>maprop(AK33,AO34,AJ16,AM35,AO35,8)</f>
        <v>0.0030162793408324085</v>
      </c>
      <c r="AL16" s="37">
        <f>maprop(AL33,AO34,AJ16,AM35,AO35,8)</f>
        <v>0.0033632621754583706</v>
      </c>
      <c r="AM16" s="37">
        <f>maprop(AM33,AO34,AJ16,AM35,AO35,8)</f>
        <v>0.003745399237815783</v>
      </c>
      <c r="AN16" s="38">
        <f>maprop(AN33,AO34,AJ16,AM35,AO35,8)</f>
        <v>0.004165774451042686</v>
      </c>
      <c r="AO16" s="36">
        <f>maprop(AO33,AO34,AJ16,AM35,AO35,8)</f>
        <v>0.004627703908916449</v>
      </c>
      <c r="AP16" s="37">
        <f>maprop(AP33,AO34,AJ16,AM35,AO35,8)</f>
        <v>0.005134751555572662</v>
      </c>
      <c r="AQ16" s="37">
        <f>maprop(AQ33,AO34,AJ16,AM35,AO35,8)</f>
        <v>0.0056907460467986145</v>
      </c>
      <c r="AR16" s="39">
        <f>maprop(AR33,AO34,AJ16,AM35,AO35,8)</f>
        <v>0.006299798925032628</v>
      </c>
      <c r="AS16" s="40">
        <f>maprop(AS33,AO34,AJ16,AM35,AO35,8)</f>
        <v>0.006966324259079915</v>
      </c>
      <c r="AT16" s="37">
        <f>maprop(AT33,AO34,AJ16,AM35,AO35,8)</f>
        <v>0.007695059921206865</v>
      </c>
      <c r="AU16" s="37">
        <f>maprop(AU33,AO34,AJ16,AM35,AO35,8)</f>
        <v>0.008491090699121673</v>
      </c>
      <c r="AV16" s="38">
        <f>maprop(AV33,AO34,AJ16,AM35,AO35,8)</f>
        <v>0.0093598734689177</v>
      </c>
      <c r="AW16" s="36">
        <f>maprop(AW33,AO34,AJ16,AM35,AO35,8)</f>
        <v>0.010307264687932449</v>
      </c>
      <c r="AX16" s="37">
        <f>maprop(AX33,AO34,AJ16,AM35,AO35,8)</f>
        <v>0.011339550504395949</v>
      </c>
      <c r="AY16" s="37">
        <f>maprop(AY33,AO34,AJ16,AM35,AO35,8)</f>
        <v>0.012463479824557757</v>
      </c>
      <c r="AZ16" s="39">
        <f>maprop(AZ33,AO34,AJ16,AM35,AO35,8)</f>
        <v>0.013686300728721668</v>
      </c>
      <c r="BA16" s="40">
        <f>maprop(BA33,AO34,AJ16,AM35,AO35,8)</f>
        <v>0.015015800686523572</v>
      </c>
      <c r="BB16" s="37">
        <f>maprop(BB33,AO34,AJ16,AM35,AO35,8)</f>
        <v>0.01646035109034857</v>
      </c>
      <c r="BC16" s="37">
        <f>maprop(BC33,AO34,AJ16,AM35,AO35,8)</f>
        <v>0.01802895670579532</v>
      </c>
      <c r="BD16" s="38">
        <f>maprop(BD33,AO34,AJ16,AM35,AO35,8)</f>
        <v>0.01973131073175443</v>
      </c>
      <c r="BE16" s="41">
        <f>maprop(BE33,AO34,AJ16,AM35,AO35,8)</f>
        <v>0.02157785627263758</v>
      </c>
      <c r="BH16" s="1"/>
    </row>
    <row r="17" spans="1:60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AC17" s="3"/>
      <c r="AJ17" s="16">
        <f>AJ32+(AJ12-AJ32)/20*15</f>
        <v>75</v>
      </c>
      <c r="AK17" s="42">
        <f>maprop(AK33,AO34,AJ17,AM35,AO35,8)</f>
        <v>0.002826905061728423</v>
      </c>
      <c r="AL17" s="43">
        <f>maprop(AL33,AO34,AJ17,AM35,AO35,8)</f>
        <v>0.003151993036070938</v>
      </c>
      <c r="AM17" s="43">
        <f>maprop(AM33,AO34,AJ17,AM35,AO35,8)</f>
        <v>0.003509990760392152</v>
      </c>
      <c r="AN17" s="44">
        <f>maprop(AN33,AO34,AJ17,AM35,AO35,8)</f>
        <v>0.003903779412645702</v>
      </c>
      <c r="AO17" s="42">
        <f>maprop(AO33,AO34,AJ17,AM35,AO35,8)</f>
        <v>0.004336455871732277</v>
      </c>
      <c r="AP17" s="43">
        <f>maprop(AP33,AO34,AJ17,AM35,AO35,8)</f>
        <v>0.004811347061463729</v>
      </c>
      <c r="AQ17" s="43">
        <f>maprop(AQ33,AO34,AJ17,AM35,AO35,8)</f>
        <v>0.005332025341989168</v>
      </c>
      <c r="AR17" s="45">
        <f>maprop(AR33,AO34,AJ17,AM35,AO35,8)</f>
        <v>0.005902325062846489</v>
      </c>
      <c r="AS17" s="46">
        <f>maprop(AS33,AO34,AJ17,AM35,AO35,8)</f>
        <v>0.0065263604079432245</v>
      </c>
      <c r="AT17" s="43">
        <f>maprop(AT33,AO34,AJ17,AM35,AO35,8)</f>
        <v>0.007208544681243627</v>
      </c>
      <c r="AU17" s="43">
        <f>maprop(AU33,AO34,AJ17,AM35,AO35,8)</f>
        <v>0.007953611203107773</v>
      </c>
      <c r="AV17" s="44">
        <f>maprop(AV33,AO34,AJ17,AM35,AO35,8)</f>
        <v>0.008766636011487836</v>
      </c>
      <c r="AW17" s="42">
        <f>maprop(AW33,AO34,AJ17,AM35,AO35,8)</f>
        <v>0.009653062590058081</v>
      </c>
      <c r="AX17" s="43">
        <f>maprop(AX33,AO34,AJ17,AM35,AO35,8)</f>
        <v>0.010618728877401428</v>
      </c>
      <c r="AY17" s="43">
        <f>maprop(AY33,AO34,AJ17,AM35,AO35,8)</f>
        <v>0.011669896848300004</v>
      </c>
      <c r="AZ17" s="45">
        <f>maprop(AZ33,AO34,AJ17,AM35,AO35,8)</f>
        <v>0.012813285000816146</v>
      </c>
      <c r="BA17" s="46">
        <f>maprop(BA33,AO34,AJ17,AM35,AO35,8)</f>
        <v>0.014056104132182431</v>
      </c>
      <c r="BB17" s="43">
        <f>maprop(BB33,AO34,AJ17,AM35,AO35,8)</f>
        <v>0.015406096843751639</v>
      </c>
      <c r="BC17" s="43">
        <f>maprop(BC33,AO34,AJ17,AM35,AO35,8)</f>
        <v>0.016871581281817916</v>
      </c>
      <c r="BD17" s="44">
        <f>maprop(BD33,AO34,AJ17,AM35,AO35,8)</f>
        <v>0.018461499698740808</v>
      </c>
      <c r="BE17" s="47">
        <f>maprop(BE33,AO34,AJ17,AM35,AO35,8)</f>
        <v>0.020185472509607064</v>
      </c>
      <c r="BH17" s="1"/>
    </row>
    <row r="18" spans="1:60" ht="9.75" customHeight="1">
      <c r="A18" s="6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E18" s="1"/>
      <c r="AJ18" s="16">
        <f>AJ32+(AJ12-AJ32)/20*14</f>
        <v>70</v>
      </c>
      <c r="AK18" s="48">
        <f>maprop(AK33,AO34,AJ18,AM35,AO35,8)</f>
        <v>0.002637645509807038</v>
      </c>
      <c r="AL18" s="49">
        <f>maprop(AL33,AO34,AJ18,AM35,AO35,8)</f>
        <v>0.00294086660204712</v>
      </c>
      <c r="AM18" s="49">
        <f>maprop(AM33,AO34,AJ18,AM35,AO35,8)</f>
        <v>0.00327475934701993</v>
      </c>
      <c r="AN18" s="50">
        <f>maprop(AN33,AO34,AJ18,AM35,AO35,8)</f>
        <v>0.003642003534776562</v>
      </c>
      <c r="AO18" s="48">
        <f>maprop(AO33,AO34,AJ18,AM35,AO35,8)</f>
        <v>0.004045478455743337</v>
      </c>
      <c r="AP18" s="49">
        <f>maprop(AP33,AO34,AJ18,AM35,AO35,8)</f>
        <v>0.004488275958844798</v>
      </c>
      <c r="AQ18" s="49">
        <f>maprop(AQ33,AO34,AJ18,AM35,AO35,8)</f>
        <v>0.0049737144317487615</v>
      </c>
      <c r="AR18" s="51">
        <f>maprop(AR33,AO34,AJ18,AM35,AO35,8)</f>
        <v>0.005505353800929532</v>
      </c>
      <c r="AS18" s="52">
        <f>maprop(AS33,AO34,AJ18,AM35,AO35,8)</f>
        <v>0.0060870116629103705</v>
      </c>
      <c r="AT18" s="49">
        <f>maprop(AT33,AO34,AJ18,AM35,AO35,8)</f>
        <v>0.006722780673662276</v>
      </c>
      <c r="AU18" s="49">
        <f>maprop(AU33,AO34,AJ18,AM35,AO35,8)</f>
        <v>0.007417047340987293</v>
      </c>
      <c r="AV18" s="50">
        <f>maprop(AV33,AO34,AJ18,AM35,AO35,8)</f>
        <v>0.008174512385129932</v>
      </c>
      <c r="AW18" s="48">
        <f>maprop(AW33,AO34,AJ18,AM35,AO35,8)</f>
        <v>0.009000212856245549</v>
      </c>
      <c r="AX18" s="49">
        <f>maprop(AX33,AO34,AJ18,AM35,AO35,8)</f>
        <v>0.009899546224180855</v>
      </c>
      <c r="AY18" s="49">
        <f>maprop(AY33,AO34,AJ18,AM35,AO35,8)</f>
        <v>0.010878296686834316</v>
      </c>
      <c r="AZ18" s="51">
        <f>maprop(AZ33,AO34,AJ18,AM35,AO35,8)</f>
        <v>0.011942663978836657</v>
      </c>
      <c r="BA18" s="52">
        <f>maprop(BA33,AO34,AJ18,AM35,AO35,8)</f>
        <v>0.013099295003199748</v>
      </c>
      <c r="BB18" s="49">
        <f>maprop(BB33,AO34,AJ18,AM35,AO35,8)</f>
        <v>0.014355318655875332</v>
      </c>
      <c r="BC18" s="49">
        <f>maprop(BC33,AO34,AJ18,AM35,AO35,8)</f>
        <v>0.015718384267972688</v>
      </c>
      <c r="BD18" s="50">
        <f>maprop(BD33,AO34,AJ18,AM35,AO35,8)</f>
        <v>0.01719670415405526</v>
      </c>
      <c r="BE18" s="53">
        <f>maprop(BE33,AO34,AJ18,AM35,AO35,8)</f>
        <v>0.018799100829130423</v>
      </c>
      <c r="BH18" s="1"/>
    </row>
    <row r="19" spans="1:60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E19" s="1"/>
      <c r="AJ19" s="16">
        <f>AJ32+(AJ12-AJ32)/20*13</f>
        <v>65</v>
      </c>
      <c r="AK19" s="48">
        <f>maprop(AK33,AO34,AJ19,AM35,AO35,8)</f>
        <v>0.0024485005808431073</v>
      </c>
      <c r="AL19" s="49">
        <f>maprop(AL33,AO34,AJ19,AM35,AO35,8)</f>
        <v>0.0027298827288465576</v>
      </c>
      <c r="AM19" s="49">
        <f>maprop(AM33,AO34,AJ19,AM35,AO35,8)</f>
        <v>0.003039704798004092</v>
      </c>
      <c r="AN19" s="50">
        <f>maprop(AN33,AO34,AJ19,AM35,AO35,8)</f>
        <v>0.003380446542556324</v>
      </c>
      <c r="AO19" s="48">
        <f>maprop(AO33,AO34,AJ19,AM35,AO35,8)</f>
        <v>0.003754771283941996</v>
      </c>
      <c r="AP19" s="49">
        <f>maprop(AP33,AO34,AJ19,AM35,AO35,8)</f>
        <v>0.00416553773245112</v>
      </c>
      <c r="AQ19" s="49">
        <f>maprop(AQ33,AO34,AJ19,AM35,AO35,8)</f>
        <v>0.0046158126142680726</v>
      </c>
      <c r="AR19" s="51">
        <f>maprop(AR33,AO34,AJ19,AM35,AO35,8)</f>
        <v>0.005108884186587463</v>
      </c>
      <c r="AS19" s="52">
        <f>maprop(AS33,AO34,AJ19,AM35,AO35,8)</f>
        <v>0.005648276734928385</v>
      </c>
      <c r="AT19" s="49">
        <f>maprop(AT33,AO34,AJ19,AM35,AO35,8)</f>
        <v>0.00623776615982825</v>
      </c>
      <c r="AU19" s="49">
        <f>maprop(AU33,AO34,AJ19,AM35,AO35,8)</f>
        <v>0.006881396774981727</v>
      </c>
      <c r="AV19" s="50">
        <f>maprop(AV33,AO34,AJ19,AM35,AO35,8)</f>
        <v>0.007583499455881033</v>
      </c>
      <c r="AW19" s="48">
        <f>maprop(AW33,AO34,AJ19,AM35,AO35,8)</f>
        <v>0.008348711297421854</v>
      </c>
      <c r="AX19" s="49">
        <f>maprop(AX33,AO34,AJ19,AM35,AO35,8)</f>
        <v>0.009181996961137806</v>
      </c>
      <c r="AY19" s="49">
        <f>maprop(AY33,AO34,AJ19,AM35,AO35,8)</f>
        <v>0.010088671918159566</v>
      </c>
      <c r="AZ19" s="51">
        <f>maprop(AZ33,AO34,AJ19,AM35,AO35,8)</f>
        <v>0.01107442782316284</v>
      </c>
      <c r="BA19" s="52">
        <f>maprop(BA33,AO34,AJ19,AM35,AO35,8)</f>
        <v>0.012145360288115869</v>
      </c>
      <c r="BB19" s="49">
        <f>maprop(BB33,AO34,AJ19,AM35,AO35,8)</f>
        <v>0.013307999363264232</v>
      </c>
      <c r="BC19" s="49">
        <f>maprop(BC33,AO34,AJ19,AM35,AO35,8)</f>
        <v>0.014569343077398244</v>
      </c>
      <c r="BD19" s="50">
        <f>maprop(BD33,AO34,AJ19,AM35,AO35,8)</f>
        <v>0.015936894441069573</v>
      </c>
      <c r="BE19" s="53">
        <f>maprop(BE33,AO34,AJ19,AM35,AO35,8)</f>
        <v>0.017418702376326835</v>
      </c>
      <c r="BH19" s="1"/>
    </row>
    <row r="20" spans="1:60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E20" s="1"/>
      <c r="AJ20" s="16">
        <f>AJ32+(AJ12-AJ32)/20*12</f>
        <v>60</v>
      </c>
      <c r="AK20" s="54">
        <f>maprop(AK33,AO34,AJ20,AM35,AO35,8)</f>
        <v>0.00225947017073823</v>
      </c>
      <c r="AL20" s="55">
        <f>maprop(AL33,AO34,AJ20,AM35,AO35,8)</f>
        <v>0.0025190412721240196</v>
      </c>
      <c r="AM20" s="55">
        <f>maprop(AM33,AO34,AJ20,AM35,AO35,8)</f>
        <v>0.0028048269139503332</v>
      </c>
      <c r="AN20" s="56">
        <f>maprop(AN33,AO34,AJ20,AM35,AO35,8)</f>
        <v>0.003119108161565941</v>
      </c>
      <c r="AO20" s="54">
        <f>maprop(AO33,AO34,AJ20,AM35,AO35,8)</f>
        <v>0.0034643339800207165</v>
      </c>
      <c r="AP20" s="55">
        <f>maprop(AP33,AO34,AJ20,AM35,AO35,8)</f>
        <v>0.0038431318680792054</v>
      </c>
      <c r="AQ20" s="55">
        <f>maprop(AQ33,AO34,AJ20,AM35,AO35,8)</f>
        <v>0.0042583191893392726</v>
      </c>
      <c r="AR20" s="57">
        <f>maprop(AR33,AO34,AJ20,AM35,AO35,8)</f>
        <v>0.0047129152695318775</v>
      </c>
      <c r="AS20" s="58">
        <f>maprop(AS33,AO34,AJ20,AM35,AO35,8)</f>
        <v>0.005210154338543275</v>
      </c>
      <c r="AT20" s="55">
        <f>maprop(AT33,AO34,AJ20,AM35,AO35,8)</f>
        <v>0.005753499406468401</v>
      </c>
      <c r="AU20" s="55">
        <f>maprop(AU33,AO34,AJ20,AM35,AO35,8)</f>
        <v>0.006346657175264573</v>
      </c>
      <c r="AV20" s="56">
        <f>maprop(AV33,AO34,AJ20,AM35,AO35,8)</f>
        <v>0.006993594101524868</v>
      </c>
      <c r="AW20" s="54">
        <f>maprop(AW33,AO34,AJ20,AM35,AO35,8)</f>
        <v>0.0076985537417975335</v>
      </c>
      <c r="AX20" s="55">
        <f>maprop(AX33,AO34,AJ20,AM35,AO35,8)</f>
        <v>0.008466075530010287</v>
      </c>
      <c r="AY20" s="55">
        <f>maprop(AY33,AO34,AJ20,AM35,AO35,8)</f>
        <v>0.009301015157271242</v>
      </c>
      <c r="AZ20" s="57">
        <f>maprop(AZ33,AO34,AJ20,AM35,AO35,8)</f>
        <v>0.010208566748007363</v>
      </c>
      <c r="BA20" s="58">
        <f>maprop(BA33,AO34,AJ20,AM35,AO35,8)</f>
        <v>0.011194287053531213</v>
      </c>
      <c r="BB20" s="55">
        <f>maprop(BB33,AO34,AJ20,AM35,AO35,8)</f>
        <v>0.012264121915272885</v>
      </c>
      <c r="BC20" s="55">
        <f>maprop(BC33,AO34,AJ20,AM35,AO35,8)</f>
        <v>0.013424435285734802</v>
      </c>
      <c r="BD20" s="56">
        <f>maprop(BD33,AO34,AJ20,AM35,AO35,8)</f>
        <v>0.014682041136508818</v>
      </c>
      <c r="BE20" s="59">
        <f>maprop(BE33,AO34,AJ20,AM35,AO35,8)</f>
        <v>0.01604423863041035</v>
      </c>
      <c r="BH20" s="1"/>
    </row>
    <row r="21" spans="1:60" ht="9.75" customHeight="1">
      <c r="A21" s="6"/>
      <c r="B21" s="6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E21" s="1"/>
      <c r="AJ21" s="16">
        <f>AJ32+(AJ12-AJ32)/20*11</f>
        <v>55</v>
      </c>
      <c r="AK21" s="60">
        <f>maprop(AK33,AO34,AJ21,AM35,AO35,8)</f>
        <v>0.0020705541755194844</v>
      </c>
      <c r="AL21" s="61">
        <f>maprop(AL33,AO34,AJ21,AM35,AO35,8)</f>
        <v>0.0023083420877290815</v>
      </c>
      <c r="AM21" s="61">
        <f>maprop(AM33,AO34,AJ21,AM35,AO35,8)</f>
        <v>0.00257012549576342</v>
      </c>
      <c r="AN21" s="62">
        <f>maprop(AN33,AO34,AJ21,AM35,AO35,8)</f>
        <v>0.0028579881178443555</v>
      </c>
      <c r="AO21" s="60">
        <f>maprop(AO33,AO34,AJ21,AM35,AO35,8)</f>
        <v>0.003174166168369896</v>
      </c>
      <c r="AP21" s="61">
        <f>maprop(AP33,AO34,AJ21,AM35,AO35,8)</f>
        <v>0.003521057852584088</v>
      </c>
      <c r="AQ21" s="61">
        <f>maprop(AQ33,AO34,AJ21,AM35,AO35,8)</f>
        <v>0.003901233458351601</v>
      </c>
      <c r="AR21" s="63">
        <f>maprop(AR33,AO34,AJ21,AM35,AO35,8)</f>
        <v>0.004317446101873618</v>
      </c>
      <c r="AS21" s="64">
        <f>maprop(AS33,AO34,AJ21,AM35,AO35,8)</f>
        <v>0.004772643191887997</v>
      </c>
      <c r="AT21" s="61">
        <f>maprop(AT33,AO34,AJ21,AM35,AO35,8)</f>
        <v>0.005269978685649932</v>
      </c>
      <c r="AU21" s="61">
        <f>maprop(AU33,AO34,AJ21,AM35,AO35,8)</f>
        <v>0.005812826219927003</v>
      </c>
      <c r="AV21" s="62">
        <f>maprop(AV33,AO34,AJ21,AM35,AO35,8)</f>
        <v>0.006404793211535905</v>
      </c>
      <c r="AW21" s="60">
        <f>maprop(AW33,AO34,AJ21,AM35,AO35,8)</f>
        <v>0.007049736034778035</v>
      </c>
      <c r="AX21" s="61">
        <f>maprop(AX33,AO34,AJ21,AM35,AO35,8)</f>
        <v>0.007751776397726128</v>
      </c>
      <c r="AY21" s="61">
        <f>maprop(AY33,AO34,AJ21,AM35,AO35,8)</f>
        <v>0.008515319055930656</v>
      </c>
      <c r="AZ21" s="63">
        <f>maprop(AZ33,AO34,AJ21,AM35,AO35,8)</f>
        <v>0.00934507102104869</v>
      </c>
      <c r="BA21" s="64">
        <f>maprop(BA33,AO34,AJ21,AM35,AO35,8)</f>
        <v>0.01024606244352121</v>
      </c>
      <c r="BB21" s="61">
        <f>maprop(BB33,AO34,AJ21,AM35,AO35,8)</f>
        <v>0.011223669373139915</v>
      </c>
      <c r="BC21" s="61">
        <f>maprop(BC33,AO34,AJ21,AM35,AO35,8)</f>
        <v>0.01228363862966538</v>
      </c>
      <c r="BD21" s="62">
        <f>maprop(BD33,AO34,AJ21,AM35,AO35,8)</f>
        <v>0.013432115048160961</v>
      </c>
      <c r="BE21" s="65">
        <f>maprop(BE33,AO34,AJ21,AM35,AO35,8)</f>
        <v>0.01467567140110728</v>
      </c>
      <c r="BH21" s="1"/>
    </row>
    <row r="22" spans="1:60" ht="9.75" customHeight="1">
      <c r="A22" s="6"/>
      <c r="B22" s="6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E22" s="1"/>
      <c r="AJ22" s="16">
        <f>AJ32+(AJ12-AJ32)/20*10</f>
        <v>50</v>
      </c>
      <c r="AK22" s="48">
        <f>maprop(AK33,AO34,AJ22,AM35,AO35,8)</f>
        <v>0.0018817524913401769</v>
      </c>
      <c r="AL22" s="49">
        <f>maprop(AL33,AO34,AJ22,AM35,AO35,8)</f>
        <v>0.002097785031705926</v>
      </c>
      <c r="AM22" s="49">
        <f>maprop(AM33,AO34,AJ22,AM35,AO35,8)</f>
        <v>0.0023356003446475763</v>
      </c>
      <c r="AN22" s="50">
        <f>maprop(AN33,AO34,AJ22,AM35,AO35,8)</f>
        <v>0.0025970861378886265</v>
      </c>
      <c r="AO22" s="48">
        <f>maprop(AO33,AO34,AJ22,AM35,AO35,8)</f>
        <v>0.002884267474077059</v>
      </c>
      <c r="AP22" s="49">
        <f>maprop(AP33,AO34,AJ22,AM35,AO35,8)</f>
        <v>0.0031993151738766118</v>
      </c>
      <c r="AQ22" s="49">
        <f>maprop(AQ33,AO34,AJ22,AM35,AO35,8)</f>
        <v>0.003544554724286814</v>
      </c>
      <c r="AR22" s="51">
        <f>maprop(AR33,AO34,AJ22,AM35,AO35,8)</f>
        <v>0.003922475738114124</v>
      </c>
      <c r="AS22" s="52">
        <f>maprop(AS33,AO34,AJ22,AM35,AO35,8)</f>
        <v>0.0043357420166698305</v>
      </c>
      <c r="AT22" s="49">
        <f>maprop(AT33,AO34,AJ22,AM35,AO35,8)</f>
        <v>0.004787202274759445</v>
      </c>
      <c r="AU22" s="49">
        <f>maprop(AU33,AO34,AJ22,AM35,AO35,8)</f>
        <v>0.005279901594944396</v>
      </c>
      <c r="AV22" s="50">
        <f>maprop(AV33,AO34,AJ22,AM35,AO35,8)</f>
        <v>0.005817093687025776</v>
      </c>
      <c r="AW22" s="48">
        <f>maprop(AW33,AO34,AJ22,AM35,AO35,8)</f>
        <v>0.0064022540388742576</v>
      </c>
      <c r="AX22" s="49">
        <f>maprop(AX33,AO34,AJ22,AM35,AO35,8)</f>
        <v>0.007039094056261395</v>
      </c>
      <c r="AY22" s="49">
        <f>maprop(AY33,AO34,AJ22,AM35,AO35,8)</f>
        <v>0.007731576302436564</v>
      </c>
      <c r="AZ22" s="51">
        <f>maprop(AZ33,AO34,AJ22,AM35,AO35,8)</f>
        <v>0.008483930963065458</v>
      </c>
      <c r="BA22" s="52">
        <f>maprop(BA33,AO34,AJ22,AM35,AO35,8)</f>
        <v>0.009300673679057852</v>
      </c>
      <c r="BB22" s="49">
        <f>maprop(BB33,AO34,AJ22,AM35,AO35,8)</f>
        <v>0.010186624909072661</v>
      </c>
      <c r="BC22" s="49">
        <f>maprop(BC33,AO34,AJ22,AM35,AO35,8)</f>
        <v>0.011146931005472706</v>
      </c>
      <c r="BD22" s="50">
        <f>maprop(BD33,AO34,AJ22,AM35,AO35,8)</f>
        <v>0.012187087212612819</v>
      </c>
      <c r="BE22" s="53">
        <f>maprop(BE33,AO34,AJ22,AM35,AO35,8)</f>
        <v>0.013312962825118846</v>
      </c>
      <c r="BH22" s="1"/>
    </row>
    <row r="23" spans="1:60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E23" s="1"/>
      <c r="AJ23" s="16">
        <f>AJ32+(AJ12-AJ32)/20*9</f>
        <v>45</v>
      </c>
      <c r="AK23" s="48">
        <f>maprop(AK33,AO34,AJ23,AM35,AO35,8)</f>
        <v>0.0016930650144792489</v>
      </c>
      <c r="AL23" s="49">
        <f>maprop(AL33,AO34,AJ23,AM35,AO35,8)</f>
        <v>0.001887369960292482</v>
      </c>
      <c r="AM23" s="49">
        <f>maprop(AM33,AO34,AJ23,AM35,AO35,8)</f>
        <v>0.002101251262105516</v>
      </c>
      <c r="AN23" s="50">
        <f>maprop(AN33,AO34,AJ23,AM35,AO35,8)</f>
        <v>0.0023364019486520264</v>
      </c>
      <c r="AO23" s="48">
        <f>maprop(AO33,AO34,AJ23,AM35,AO35,8)</f>
        <v>0.002594637522924702</v>
      </c>
      <c r="AP23" s="49">
        <f>maprop(AP33,AO34,AJ23,AM35,AO35,8)</f>
        <v>0.0028779033209205764</v>
      </c>
      <c r="AQ23" s="49">
        <f>maprop(AQ33,AO34,AJ23,AM35,AO35,8)</f>
        <v>0.0031882822917146474</v>
      </c>
      <c r="AR23" s="51">
        <f>maprop(AR33,AO34,AJ23,AM35,AO35,8)</f>
        <v>0.003528003235138847</v>
      </c>
      <c r="AS23" s="52">
        <f>maprop(AS33,AO34,AJ23,AM35,AO35,8)</f>
        <v>0.0038994495381577876</v>
      </c>
      <c r="AT23" s="49">
        <f>maprop(AT33,AO34,AJ23,AM35,AO35,8)</f>
        <v>0.004305168456483298</v>
      </c>
      <c r="AU23" s="49">
        <f>maprop(AU33,AO34,AJ23,AM35,AO35,8)</f>
        <v>0.004747880994142899</v>
      </c>
      <c r="AV23" s="50">
        <f>maprop(AV33,AO34,AJ23,AM35,AO35,8)</f>
        <v>0.005230492440687954</v>
      </c>
      <c r="AW23" s="48">
        <f>maprop(AW33,AO34,AJ23,AM35,AO35,8)</f>
        <v>0.005756103633615705</v>
      </c>
      <c r="AX23" s="49">
        <f>maprop(AX33,AO34,AJ23,AM35,AO35,8)</f>
        <v>0.006328023022498402</v>
      </c>
      <c r="AY23" s="49">
        <f>maprop(AY33,AO34,AJ23,AM35,AO35,8)</f>
        <v>0.00694977962139837</v>
      </c>
      <c r="AZ23" s="51">
        <f>maprop(AZ33,AO34,AJ23,AM35,AO35,8)</f>
        <v>0.007625136947575936</v>
      </c>
      <c r="BA23" s="52">
        <f>maprop(BA33,AO34,AJ23,AM35,AO35,8)</f>
        <v>0.008358108057435101</v>
      </c>
      <c r="BB23" s="49">
        <f>maprop(BB33,AO34,AJ23,AM35,AO35,8)</f>
        <v>0.009152971805339381</v>
      </c>
      <c r="BC23" s="49">
        <f>maprop(BC33,AO34,AJ23,AM35,AO35,8)</f>
        <v>0.010014290467611648</v>
      </c>
      <c r="BD23" s="50">
        <f>maprop(BD33,AO34,AJ23,AM35,AO35,8)</f>
        <v>0.01094692889301262</v>
      </c>
      <c r="BE23" s="53">
        <f>maprop(BE33,AO34,AJ23,AM35,AO35,8)</f>
        <v>0.011956075362629177</v>
      </c>
      <c r="BH23" s="1"/>
    </row>
    <row r="24" spans="1:60" ht="9.75" customHeight="1">
      <c r="A24" s="6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E24" s="1"/>
      <c r="AJ24" s="16">
        <f>AJ32+(AJ12-AJ32)/20*8</f>
        <v>40</v>
      </c>
      <c r="AK24" s="36">
        <f>maprop(AK33,AO34,AJ24,AM35,AO35,8)</f>
        <v>0.001504491641340684</v>
      </c>
      <c r="AL24" s="37">
        <f>maprop(AL33,AO34,AJ24,AM35,AO35,8)</f>
        <v>0.0016770967299209</v>
      </c>
      <c r="AM24" s="37">
        <f>maprop(AM33,AO34,AJ24,AM35,AO35,8)</f>
        <v>0.0018670780499374783</v>
      </c>
      <c r="AN24" s="38">
        <f>maprop(AN33,AO34,AJ24,AM35,AO35,8)</f>
        <v>0.0020759352775434957</v>
      </c>
      <c r="AO24" s="36">
        <f>maprop(AO33,AO34,AJ24,AM35,AO35,8)</f>
        <v>0.002305275941388816</v>
      </c>
      <c r="AP24" s="37">
        <f>maprop(AP33,AO34,AJ24,AM35,AO35,8)</f>
        <v>0.002556821783730571</v>
      </c>
      <c r="AQ24" s="37">
        <f>maprop(AQ33,AO34,AJ24,AM35,AO35,8)</f>
        <v>0.0028324154667883007</v>
      </c>
      <c r="AR24" s="39">
        <f>maprop(AR33,AO34,AJ24,AM35,AO35,8)</f>
        <v>0.003134027652209332</v>
      </c>
      <c r="AS24" s="40">
        <f>maprop(AS33,AO34,AJ24,AM35,AO35,8)</f>
        <v>0.0034637644851707628</v>
      </c>
      <c r="AT24" s="37">
        <f>maprop(AT33,AO34,AJ24,AM35,AO35,8)</f>
        <v>0.0038238755187868295</v>
      </c>
      <c r="AU24" s="37">
        <f>maprop(AU33,AO34,AJ24,AM35,AO35,8)</f>
        <v>0.0042167621191661646</v>
      </c>
      <c r="AV24" s="38">
        <f>maprop(AV33,AO34,AJ24,AM35,AO35,8)</f>
        <v>0.004644986396744104</v>
      </c>
      <c r="AW24" s="36">
        <f>maprop(AW33,AO34,AJ24,AM35,AO35,8)</f>
        <v>0.005111280715462112</v>
      </c>
      <c r="AX24" s="37">
        <f>maprop(AX33,AO34,AJ24,AM35,AO35,8)</f>
        <v>0.005618557838084682</v>
      </c>
      <c r="AY24" s="37">
        <f>maprop(AY33,AO34,AJ24,AM35,AO35,8)</f>
        <v>0.00616992177351099</v>
      </c>
      <c r="AZ24" s="39">
        <f>maprop(AZ33,AO34,AJ24,AM35,AO35,8)</f>
        <v>0.006768679400478337</v>
      </c>
      <c r="BA24" s="40">
        <f>maprop(BA33,AO34,AJ24,AM35,AO35,8)</f>
        <v>0.007418352951700047</v>
      </c>
      <c r="BB24" s="37">
        <f>maprop(BB33,AO34,AJ24,AM35,AO35,8)</f>
        <v>0.008122693453371068</v>
      </c>
      <c r="BC24" s="37">
        <f>maprop(BC33,AO34,AJ24,AM35,AO35,8)</f>
        <v>0.008885695227296864</v>
      </c>
      <c r="BD24" s="38">
        <f>maprop(BD33,AO34,AJ24,AM35,AO35,8)</f>
        <v>0.009711611576859305</v>
      </c>
      <c r="BE24" s="41">
        <f>maprop(BE33,AO34,AJ24,AM35,AO35,8)</f>
        <v>0.010604971793858647</v>
      </c>
      <c r="BH24" s="1"/>
    </row>
    <row r="25" spans="1:60" ht="9.75" customHeight="1">
      <c r="A25" s="6"/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E25" s="1"/>
      <c r="AJ25" s="16">
        <f>AJ32+(AJ12-AJ32)/20*7</f>
        <v>35</v>
      </c>
      <c r="AK25" s="42">
        <f>maprop(AK33,AO34,AJ25,AM35,AO35,8)</f>
        <v>0.0013160322684542592</v>
      </c>
      <c r="AL25" s="43">
        <f>maprop(AL33,AO34,AJ25,AM35,AO35,8)</f>
        <v>0.0014669651972166902</v>
      </c>
      <c r="AM25" s="43">
        <f>maprop(AM33,AO34,AJ25,AM35,AO35,8)</f>
        <v>0.0016330805102416131</v>
      </c>
      <c r="AN25" s="44">
        <f>maprop(AN33,AO34,AJ25,AM35,AO35,8)</f>
        <v>0.0018156858524270949</v>
      </c>
      <c r="AO25" s="42">
        <f>maprop(AO33,AO34,AJ25,AM35,AO35,8)</f>
        <v>0.002016182356637418</v>
      </c>
      <c r="AP25" s="43">
        <f>maprop(AP33,AO34,AJ25,AM35,AO35,8)</f>
        <v>0.0022360700533684704</v>
      </c>
      <c r="AQ25" s="43">
        <f>maprop(AQ33,AO34,AJ25,AM35,AO35,8)</f>
        <v>0.0024769535572399287</v>
      </c>
      <c r="AR25" s="45">
        <f>maprop(AR33,AO34,AJ25,AM35,AO35,8)</f>
        <v>0.00274054805095534</v>
      </c>
      <c r="AS25" s="46">
        <f>maprop(AS33,AO34,AJ25,AM35,AO35,8)</f>
        <v>0.003028685590064366</v>
      </c>
      <c r="AT25" s="43">
        <f>maprop(AT33,AO34,AJ25,AM35,AO35,8)</f>
        <v>0.003343321754893687</v>
      </c>
      <c r="AU25" s="43">
        <f>maprop(AU33,AO34,AJ25,AM35,AO35,8)</f>
        <v>0.00368654267944225</v>
      </c>
      <c r="AV25" s="44">
        <f>maprop(AV33,AO34,AJ25,AM35,AO35,8)</f>
        <v>0.004060572490890728</v>
      </c>
      <c r="AW25" s="42">
        <f>maprop(AW33,AO34,AJ25,AM35,AO35,8)</f>
        <v>0.004467781197716994</v>
      </c>
      <c r="AX25" s="43">
        <f>maprop(AX33,AO34,AJ25,AM35,AO35,8)</f>
        <v>0.004910693069294278</v>
      </c>
      <c r="AY25" s="43">
        <f>maprop(AY33,AO34,AJ25,AM35,AO35,8)</f>
        <v>0.005391995555331404</v>
      </c>
      <c r="AZ25" s="45">
        <f>maprop(AZ33,AO34,AJ25,AM35,AO35,8)</f>
        <v>0.005914548799695452</v>
      </c>
      <c r="BA25" s="46">
        <f>maprop(BA33,AO34,AJ25,AM35,AO35,8)</f>
        <v>0.0064813958100892214</v>
      </c>
      <c r="BB25" s="43">
        <f>maprop(BB33,AO34,AJ25,AM35,AO35,8)</f>
        <v>0.007095773352871873</v>
      </c>
      <c r="BC25" s="43">
        <f>maprop(BC33,AO34,AJ25,AM35,AO35,8)</f>
        <v>0.007761123651105648</v>
      </c>
      <c r="BD25" s="44">
        <f>maprop(BD33,AO34,AJ25,AM35,AO35,8)</f>
        <v>0.008481106973817654</v>
      </c>
      <c r="BE25" s="47">
        <f>maprop(BE33,AO34,AJ25,AM35,AO35,8)</f>
        <v>0.009259615215659824</v>
      </c>
      <c r="BH25" s="1"/>
    </row>
    <row r="26" spans="1:60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E26" s="1"/>
      <c r="AJ26" s="16">
        <f>AJ32+(AJ12-AJ32)/20*6</f>
        <v>30</v>
      </c>
      <c r="AK26" s="48">
        <f>maprop(AK33,AO34,AJ26,AM35,AO35,8)</f>
        <v>0.0011276867924742801</v>
      </c>
      <c r="AL26" s="49">
        <f>maprop(AL33,AO34,AJ26,AM35,AO35,8)</f>
        <v>0.00125697521899853</v>
      </c>
      <c r="AM26" s="49">
        <f>maprop(AM33,AO34,AJ26,AM35,AO35,8)</f>
        <v>0.0013992584454123453</v>
      </c>
      <c r="AN26" s="50">
        <f>maprop(AN33,AO34,AJ26,AM35,AO35,8)</f>
        <v>0.0015556534016201156</v>
      </c>
      <c r="AO26" s="48">
        <f>maprop(AO33,AO34,AJ26,AM35,AO35,8)</f>
        <v>0.0017273563965284084</v>
      </c>
      <c r="AP26" s="49">
        <f>maprop(AP33,AO34,AJ26,AM35,AO35,8)</f>
        <v>0.0019156476219412836</v>
      </c>
      <c r="AQ26" s="49">
        <f>maprop(AQ33,AO34,AJ26,AM35,AO35,8)</f>
        <v>0.0021218958723761548</v>
      </c>
      <c r="AR26" s="51">
        <f>maprop(AR33,AO34,AJ26,AM35,AO35,8)</f>
        <v>0.0023475634953683436</v>
      </c>
      <c r="AS26" s="52">
        <f>maprop(AS33,AO34,AJ26,AM35,AO35,8)</f>
        <v>0.002594211588719044</v>
      </c>
      <c r="AT26" s="49">
        <f>maprop(AT33,AO34,AJ26,AM35,AO35,8)</f>
        <v>0.002863505463266466</v>
      </c>
      <c r="AU26" s="49">
        <f>maprop(AU33,AO34,AJ26,AM35,AO35,8)</f>
        <v>0.003157220392150691</v>
      </c>
      <c r="AV26" s="50">
        <f>maprop(AV33,AO34,AJ26,AM35,AO35,8)</f>
        <v>0.0034772476702447613</v>
      </c>
      <c r="AW26" s="48">
        <f>maprop(AW33,AO34,AJ26,AM35,AO35,8)</f>
        <v>0.0038256010104417166</v>
      </c>
      <c r="AX26" s="49">
        <f>maprop(AX33,AO34,AJ26,AM35,AO35,8)</f>
        <v>0.004204423306887932</v>
      </c>
      <c r="AY26" s="49">
        <f>maprop(AY33,AO34,AJ26,AM35,AO35,8)</f>
        <v>0.004615993799056872</v>
      </c>
      <c r="AZ26" s="51">
        <f>maprop(AZ33,AO34,AJ26,AM35,AO35,8)</f>
        <v>0.005062735674822172</v>
      </c>
      <c r="BA26" s="52">
        <f>maprop(BA33,AO34,AJ26,AM35,AO35,8)</f>
        <v>0.005547224155469211</v>
      </c>
      <c r="BB26" s="49">
        <f>maprop(BB33,AO34,AJ26,AM35,AO35,8)</f>
        <v>0.0060721951109382515</v>
      </c>
      <c r="BC26" s="49">
        <f>maprop(BC33,AO34,AJ26,AM35,AO35,8)</f>
        <v>0.006640554259595743</v>
      </c>
      <c r="BD26" s="50">
        <f>maprop(BD33,AO34,AJ26,AM35,AO35,8)</f>
        <v>0.007255387013558367</v>
      </c>
      <c r="BE26" s="53">
        <f>maprop(BE33,AO34,AJ26,AM35,AO35,8)</f>
        <v>0.007919969038158</v>
      </c>
      <c r="BH26" s="1"/>
    </row>
    <row r="27" spans="1:60" ht="9.75" customHeight="1">
      <c r="A27" s="6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E27" s="1"/>
      <c r="AJ27" s="16">
        <f>AJ32+(AJ12-AJ32)/20*5</f>
        <v>25</v>
      </c>
      <c r="AK27" s="48">
        <f>maprop(AK33,AO34,AJ27,AM35,AO35,8)</f>
        <v>0.0009394551101804675</v>
      </c>
      <c r="AL27" s="49">
        <f>maprop(AL33,AO34,AJ27,AM35,AO35,8)</f>
        <v>0.0010471266522779398</v>
      </c>
      <c r="AM27" s="49">
        <f>maprop(AM33,AO34,AJ27,AM35,AO35,8)</f>
        <v>0.0011656116581408953</v>
      </c>
      <c r="AN27" s="50">
        <f>maprop(AN33,AO34,AJ27,AM35,AO35,8)</f>
        <v>0.0012958376538932106</v>
      </c>
      <c r="AO27" s="48">
        <f>maprop(AO33,AO34,AJ27,AM35,AO35,8)</f>
        <v>0.0014387976896087858</v>
      </c>
      <c r="AP27" s="49">
        <f>maprop(AP33,AO34,AJ27,AM35,AO35,8)</f>
        <v>0.0015955539825983386</v>
      </c>
      <c r="AQ27" s="49">
        <f>maprop(AQ33,AO34,AJ27,AM35,AO35,8)</f>
        <v>0.0017672417230735987</v>
      </c>
      <c r="AR27" s="51">
        <f>maprop(AR33,AO34,AJ27,AM35,AO35,8)</f>
        <v>0.0019550730517930203</v>
      </c>
      <c r="AS27" s="52">
        <f>maprop(AS33,AO34,AJ27,AM35,AO35,8)</f>
        <v>0.0021603412205282355</v>
      </c>
      <c r="AT27" s="49">
        <f>maprop(AT33,AO34,AJ27,AM35,AO35,8)</f>
        <v>0.002384424947586218</v>
      </c>
      <c r="AU27" s="49">
        <f>maprop(AU33,AO34,AJ27,AM35,AO35,8)</f>
        <v>0.0026287929821898755</v>
      </c>
      <c r="AV27" s="50">
        <f>maprop(AV33,AO34,AJ27,AM35,AO35,8)</f>
        <v>0.002895008893291493</v>
      </c>
      <c r="AW27" s="48">
        <f>maprop(AW33,AO34,AJ27,AM35,AO35,8)</f>
        <v>0.003184736100368874</v>
      </c>
      <c r="AX27" s="49">
        <f>maprop(AX33,AO34,AJ27,AM35,AO35,8)</f>
        <v>0.003499743165976387</v>
      </c>
      <c r="AY27" s="49">
        <f>maprop(AY33,AO34,AJ27,AM35,AO35,8)</f>
        <v>0.0038419093723049092</v>
      </c>
      <c r="AZ27" s="51">
        <f>maprop(AZ33,AO34,AJ27,AM35,AO35,8)</f>
        <v>0.0042132306067746384</v>
      </c>
      <c r="BA27" s="52">
        <f>maprop(BA33,AO34,AJ27,AM35,AO35,8)</f>
        <v>0.004615825584783629</v>
      </c>
      <c r="BB27" s="49">
        <f>maprop(BB33,AO34,AJ27,AM35,AO35,8)</f>
        <v>0.005051942441186675</v>
      </c>
      <c r="BC27" s="49">
        <f>maprop(BC33,AO34,AJ27,AM35,AO35,8)</f>
        <v>0.005523965725937284</v>
      </c>
      <c r="BD27" s="50">
        <f>maprop(BD33,AO34,AJ27,AM35,AO35,8)</f>
        <v>0.006034423843623295</v>
      </c>
      <c r="BE27" s="53">
        <f>maprop(BE33,AO34,AJ27,AM35,AO35,8)</f>
        <v>0.006585996981434403</v>
      </c>
      <c r="BH27" s="1"/>
    </row>
    <row r="28" spans="1:60" ht="9.75" customHeight="1">
      <c r="A28" s="6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E28" s="1"/>
      <c r="AJ28" s="16">
        <f>AJ32+(AJ12-AJ32)/20*4</f>
        <v>20</v>
      </c>
      <c r="AK28" s="54">
        <f>maprop(AK33,AO34,AJ28,AM35,AO35,8)</f>
        <v>0.0007513371184766938</v>
      </c>
      <c r="AL28" s="55">
        <f>maprop(AL33,AO34,AJ28,AM35,AO35,8)</f>
        <v>0.0008374193542589571</v>
      </c>
      <c r="AM28" s="55">
        <f>maprop(AM33,AO34,AJ28,AM35,AO35,8)</f>
        <v>0.0009321399514136482</v>
      </c>
      <c r="AN28" s="56">
        <f>maprop(AN33,AO34,AJ28,AM35,AO35,8)</f>
        <v>0.001036238338468511</v>
      </c>
      <c r="AO28" s="54">
        <f>maprop(AO33,AO34,AJ28,AM35,AO35,8)</f>
        <v>0.0011505058651125131</v>
      </c>
      <c r="AP28" s="55">
        <f>maprop(AP33,AO34,AJ28,AM35,AO35,8)</f>
        <v>0.0012757886295286095</v>
      </c>
      <c r="AQ28" s="55">
        <f>maprop(AQ33,AO34,AJ28,AM35,AO35,8)</f>
        <v>0.001412990421774548</v>
      </c>
      <c r="AR28" s="57">
        <f>maprop(AR33,AO34,AJ28,AM35,AO35,8)</f>
        <v>0.001563075788920807</v>
      </c>
      <c r="AS28" s="58">
        <f>maprop(AS33,AO34,AJ28,AM35,AO35,8)</f>
        <v>0.001727073228385373</v>
      </c>
      <c r="AT28" s="55">
        <f>maprop(AT33,AO34,AJ28,AM35,AO35,8)</f>
        <v>0.001906078516732056</v>
      </c>
      <c r="AU28" s="55">
        <f>maprop(AU33,AO34,AJ28,AM35,AO35,8)</f>
        <v>0.0021012581821439075</v>
      </c>
      <c r="AV28" s="56">
        <f>maprop(AV33,AO34,AJ28,AM35,AO35,8)</f>
        <v>0.0023138531298307597</v>
      </c>
      <c r="AW28" s="54">
        <f>maprop(AW33,AO34,AJ28,AM35,AO35,8)</f>
        <v>0.002545182430817423</v>
      </c>
      <c r="AX28" s="55">
        <f>maprop(AX33,AO34,AJ28,AM35,AO35,8)</f>
        <v>0.0027966472858824433</v>
      </c>
      <c r="AY28" s="55">
        <f>maprop(AY33,AO34,AJ28,AM35,AO35,8)</f>
        <v>0.0030697351778942355</v>
      </c>
      <c r="AZ28" s="57">
        <f>maprop(AZ33,AO34,AJ28,AM35,AO35,8)</f>
        <v>0.0033660242274434816</v>
      </c>
      <c r="BA28" s="58">
        <f>maprop(BA33,AO34,AJ28,AM35,AO35,8)</f>
        <v>0.0036871877685036394</v>
      </c>
      <c r="BB28" s="55">
        <f>maprop(BB33,AO34,AJ28,AM35,AO35,8)</f>
        <v>0.004034999162889824</v>
      </c>
      <c r="BC28" s="55">
        <f>maprop(BC33,AO34,AJ28,AM35,AO35,8)</f>
        <v>0.0044113368745605855</v>
      </c>
      <c r="BD28" s="56">
        <f>maprop(BD33,AO34,AJ28,AM35,AO35,8)</f>
        <v>0.004818189827315988</v>
      </c>
      <c r="BE28" s="59">
        <f>maprop(BE33,AO34,AJ28,AM35,AO35,8)</f>
        <v>0.00525766307225024</v>
      </c>
      <c r="BH28" s="1"/>
    </row>
    <row r="29" spans="1:60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E29" s="1"/>
      <c r="AJ29" s="16">
        <f>AJ32+(AJ12-AJ32)/20*3</f>
        <v>15</v>
      </c>
      <c r="AK29" s="60">
        <f>maprop(AK33,AO34,AJ29,AM35,AO35,8)</f>
        <v>0.000563332714391869</v>
      </c>
      <c r="AL29" s="61">
        <f>maprop(AL33,AO34,AJ29,AM35,AO35,8)</f>
        <v>0.000627853182337948</v>
      </c>
      <c r="AM29" s="61">
        <f>maprop(AM33,AO34,AJ29,AM35,AO35,8)</f>
        <v>0.0006988431285126755</v>
      </c>
      <c r="AN29" s="62">
        <f>maprop(AN33,AO34,AJ29,AM35,AO35,8)</f>
        <v>0.0007768551850190869</v>
      </c>
      <c r="AO29" s="60">
        <f>maprop(AO33,AO34,AJ29,AM35,AO35,8)</f>
        <v>0.0008624805529590648</v>
      </c>
      <c r="AP29" s="61">
        <f>maprop(AP33,AO34,AJ29,AM35,AO35,8)</f>
        <v>0.0009563510579580532</v>
      </c>
      <c r="AQ29" s="61">
        <f>maprop(AQ33,AO34,AJ29,AM35,AO35,8)</f>
        <v>0.001059141282481983</v>
      </c>
      <c r="AR29" s="63">
        <f>maprop(AR33,AO34,AJ29,AM35,AO35,8)</f>
        <v>0.001171570777782127</v>
      </c>
      <c r="AS29" s="64">
        <f>maprop(AS33,AO34,AJ29,AM35,AO35,8)</f>
        <v>0.0012944063586722795</v>
      </c>
      <c r="AT29" s="61">
        <f>maprop(AT33,AO34,AJ29,AM35,AO35,8)</f>
        <v>0.0014284644847620672</v>
      </c>
      <c r="AU29" s="61">
        <f>maprop(AU33,AO34,AJ29,AM35,AO35,8)</f>
        <v>0.0015746137322509841</v>
      </c>
      <c r="AV29" s="62">
        <f>maprop(AV33,AO34,AJ29,AM35,AO35,8)</f>
        <v>0.0017337773609247807</v>
      </c>
      <c r="AW29" s="60">
        <f>maprop(AW33,AO34,AJ29,AM35,AO35,8)</f>
        <v>0.0019069359816083307</v>
      </c>
      <c r="AX29" s="61">
        <f>maprop(AX33,AO34,AJ29,AM35,AO35,8)</f>
        <v>0.0020951303300061072</v>
      </c>
      <c r="AY29" s="61">
        <f>maprop(AY33,AO34,AJ29,AM35,AO35,8)</f>
        <v>0.002299464153628678</v>
      </c>
      <c r="AZ29" s="63">
        <f>maprop(AZ33,AO34,AJ29,AM35,AO35,8)</f>
        <v>0.002521107219349855</v>
      </c>
      <c r="BA29" s="64">
        <f>maprop(BA33,AO34,AJ29,AM35,AO35,8)</f>
        <v>0.002761298450084046</v>
      </c>
      <c r="BB29" s="61">
        <f>maprop(BB33,AO34,AJ29,AM35,AO35,8)</f>
        <v>0.003021349200121331</v>
      </c>
      <c r="BC29" s="61">
        <f>maprop(BC33,AO34,AJ29,AM35,AO35,8)</f>
        <v>0.0033026466798169833</v>
      </c>
      <c r="BD29" s="62">
        <f>maprop(BD33,AO34,AJ29,AM35,AO35,8)</f>
        <v>0.003606657541616757</v>
      </c>
      <c r="BE29" s="65">
        <f>maprop(BE33,AO34,AJ29,AM35,AO35,8)</f>
        <v>0.003934931640813553</v>
      </c>
      <c r="BH29" s="1"/>
    </row>
    <row r="30" spans="1:60" ht="9.75" customHeight="1">
      <c r="A30" s="6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E30" s="1"/>
      <c r="AJ30" s="16">
        <f>AJ32+(AJ12-AJ32)/20*2</f>
        <v>10</v>
      </c>
      <c r="AK30" s="48">
        <f>maprop(AK33,AO34,AJ30,AM35,AO35,8)</f>
        <v>0.00037544179507867956</v>
      </c>
      <c r="AL30" s="49">
        <f>maprop(AL33,AO34,AJ30,AM35,AO35,8)</f>
        <v>0.000418427994102747</v>
      </c>
      <c r="AM30" s="49">
        <f>maprop(AM33,AO34,AJ30,AM35,AO35,8)</f>
        <v>0.00046572099301410875</v>
      </c>
      <c r="AN30" s="50">
        <f>maprop(AN33,AO34,AJ30,AM35,AO35,8)</f>
        <v>0.000517687923668413</v>
      </c>
      <c r="AO30" s="48">
        <f>maprop(AO33,AO34,AJ30,AM35,AO35,8)</f>
        <v>0.000574721383751978</v>
      </c>
      <c r="AP30" s="49">
        <f>maprop(AP33,AO34,AJ30,AM35,AO35,8)</f>
        <v>0.0006372407641469524</v>
      </c>
      <c r="AQ30" s="49">
        <f>maprop(AQ33,AO34,AJ30,AM35,AO35,8)</f>
        <v>0.0007056936207559507</v>
      </c>
      <c r="AR30" s="51">
        <f>maprop(AR33,AO34,AJ30,AM35,AO35,8)</f>
        <v>0.0007805570917386496</v>
      </c>
      <c r="AS30" s="52">
        <f>maprop(AS33,AO34,AJ30,AM35,AO35,8)</f>
        <v>0.0008623393612469438</v>
      </c>
      <c r="AT30" s="49">
        <f>maprop(AT33,AO34,AJ30,AM35,AO35,8)</f>
        <v>0.0009515811708929641</v>
      </c>
      <c r="AU30" s="49">
        <f>maprop(AU33,AO34,AJ30,AM35,AO35,8)</f>
        <v>0.0010488573803705916</v>
      </c>
      <c r="AV30" s="50">
        <f>maprop(AV33,AO34,AJ30,AM35,AO35,8)</f>
        <v>0.0011547785788462884</v>
      </c>
      <c r="AW30" s="48">
        <f>maprop(AW33,AO34,AJ30,AM35,AO35,8)</f>
        <v>0.0012699927489795313</v>
      </c>
      <c r="AX30" s="49">
        <f>maprop(AX33,AO34,AJ30,AM35,AO35,8)</f>
        <v>0.0013951869856884973</v>
      </c>
      <c r="AY30" s="49">
        <f>maprop(AY33,AO34,AJ30,AM35,AO35,8)</f>
        <v>0.0015310892720813358</v>
      </c>
      <c r="AZ30" s="51">
        <f>maprop(AZ33,AO34,AJ30,AM35,AO35,8)</f>
        <v>0.0016784703153030483</v>
      </c>
      <c r="BA30" s="52">
        <f>maprop(BA33,AO34,AJ30,AM35,AO35,8)</f>
        <v>0.0018381454454242012</v>
      </c>
      <c r="BB30" s="49">
        <f>maprop(BB33,AO34,AJ30,AM35,AO35,8)</f>
        <v>0.0020109765809081274</v>
      </c>
      <c r="BC30" s="49">
        <f>maprop(BC33,AO34,AJ30,AM35,AO35,8)</f>
        <v>0.002197874264654518</v>
      </c>
      <c r="BD30" s="50">
        <f>maprop(BD33,AO34,AJ30,AM35,AO35,8)</f>
        <v>0.002399799775121292</v>
      </c>
      <c r="BE30" s="53">
        <f>maprop(BE33,AO34,AJ30,AM35,AO35,8)</f>
        <v>0.0026177673175862234</v>
      </c>
      <c r="BH30" s="1"/>
    </row>
    <row r="31" spans="1:57" ht="9.75" customHeight="1">
      <c r="A31" s="6"/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E31" s="1"/>
      <c r="AJ31" s="16">
        <f>AJ32+(AJ12-AJ32)/20*1</f>
        <v>5</v>
      </c>
      <c r="AK31" s="48">
        <f>maprop(AK33,AO34,AJ31,AM35,AO35,8)</f>
        <v>0.0001876642578144731</v>
      </c>
      <c r="AL31" s="49">
        <f>maprop(AL33,AO34,AJ31,AM35,AO35,8)</f>
        <v>0.00020914364733313866</v>
      </c>
      <c r="AM31" s="49">
        <f>maprop(AM33,AO34,AJ31,AM35,AO35,8)</f>
        <v>0.00023277334878865969</v>
      </c>
      <c r="AN31" s="50">
        <f>maprop(AN33,AO34,AJ31,AM35,AO35,8)</f>
        <v>0.0002587362849884935</v>
      </c>
      <c r="AO31" s="48">
        <f>maprop(AO33,AO34,AJ31,AM35,AO35,8)</f>
        <v>0.00028722798877673625</v>
      </c>
      <c r="AP31" s="49">
        <f>maprop(AP33,AO34,AJ31,AM35,AO35,8)</f>
        <v>0.0003184572453872682</v>
      </c>
      <c r="AQ31" s="49">
        <f>maprop(AQ33,AO34,AJ31,AM35,AO35,8)</f>
        <v>0.0003526467537086167</v>
      </c>
      <c r="AR31" s="51">
        <f>maprop(AR33,AO34,AJ31,AM35,AO35,8)</f>
        <v>0.0003900338064769195</v>
      </c>
      <c r="AS31" s="52">
        <f>maprop(AS33,AO34,AJ31,AM35,AO35,8)</f>
        <v>0.00043087098943134526</v>
      </c>
      <c r="AT31" s="49">
        <f>maprop(AT33,AO34,AJ31,AM35,AO35,8)</f>
        <v>0.00047542689948063883</v>
      </c>
      <c r="AU31" s="49">
        <f>maprop(AU33,AO34,AJ31,AM35,AO35,8)</f>
        <v>0.0005239868819515357</v>
      </c>
      <c r="AV31" s="50">
        <f>maprop(AV33,AO34,AJ31,AM35,AO35,8)</f>
        <v>0.0005768537870256002</v>
      </c>
      <c r="AW31" s="48">
        <f>maprop(AW33,AO34,AJ31,AM35,AO35,8)</f>
        <v>0.0006343487455026111</v>
      </c>
      <c r="AX31" s="49">
        <f>maprop(AX33,AO34,AJ31,AM35,AO35,8)</f>
        <v>0.0006968119640788018</v>
      </c>
      <c r="AY31" s="49">
        <f>maprop(AY33,AO34,AJ31,AM35,AO35,8)</f>
        <v>0.0007646035403809961</v>
      </c>
      <c r="AZ31" s="51">
        <f>maprop(AZ33,AO34,AJ31,AM35,AO35,8)</f>
        <v>0.0008381042980620756</v>
      </c>
      <c r="BA31" s="52">
        <f>maprop(BA33,AO34,AJ31,AM35,AO35,8)</f>
        <v>0.0009177166423330073</v>
      </c>
      <c r="BB31" s="49">
        <f>maprop(BB33,AO34,AJ31,AM35,AO35,8)</f>
        <v>0.0010038654363923483</v>
      </c>
      <c r="BC31" s="49">
        <f>maprop(BC33,AO34,AJ31,AM35,AO35,8)</f>
        <v>0.001096998899307515</v>
      </c>
      <c r="BD31" s="50">
        <f>maprop(BD33,AO34,AJ31,AM35,AO35,8)</f>
        <v>0.0011975895260031024</v>
      </c>
      <c r="BE31" s="53">
        <f>maprop(BE33,AO34,AJ31,AM35,AO35,8)</f>
        <v>0.0013061350301311885</v>
      </c>
    </row>
    <row r="32" spans="1:57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E32" s="1"/>
      <c r="AJ32" s="20">
        <v>0</v>
      </c>
      <c r="AK32" s="54">
        <f>maprop(AK33,AO34,AJ32,AM35,AO35,8)</f>
        <v>0</v>
      </c>
      <c r="AL32" s="55">
        <f>maprop(AL33,AO34,AJ32,AM35,AO35,8)</f>
        <v>0</v>
      </c>
      <c r="AM32" s="55">
        <f>maprop(AM33,AO34,AJ32,AM35,AO35,8)</f>
        <v>0</v>
      </c>
      <c r="AN32" s="56">
        <f>maprop(AN33,AO34,AJ32,AM35,AO35,8)</f>
        <v>0</v>
      </c>
      <c r="AO32" s="54">
        <f>maprop(AO33,AO34,AJ32,AM35,AO35,8)</f>
        <v>0</v>
      </c>
      <c r="AP32" s="55">
        <f>maprop(AP33,AO34,AJ32,AM35,AO35,8)</f>
        <v>0</v>
      </c>
      <c r="AQ32" s="55">
        <f>maprop(AQ33,AO34,AJ32,AM35,AO35,8)</f>
        <v>0</v>
      </c>
      <c r="AR32" s="57">
        <f>maprop(AR33,AO34,AJ32,AM35,AO35,8)</f>
        <v>0</v>
      </c>
      <c r="AS32" s="58">
        <f>maprop(AS33,AO34,AJ32,AM35,AO35,8)</f>
        <v>0</v>
      </c>
      <c r="AT32" s="55">
        <f>maprop(AT33,AO34,AJ32,AM35,AO35,8)</f>
        <v>0</v>
      </c>
      <c r="AU32" s="55">
        <f>maprop(AU33,AO34,AJ32,AM35,AO35,8)</f>
        <v>0</v>
      </c>
      <c r="AV32" s="56">
        <f>maprop(AV33,AO34,AJ32,AM35,AO35,8)</f>
        <v>0</v>
      </c>
      <c r="AW32" s="54">
        <f>maprop(AW33,AO34,AJ32,AM35,AO35,8)</f>
        <v>0</v>
      </c>
      <c r="AX32" s="55">
        <f>maprop(AX33,AO34,AJ32,AM35,AO35,8)</f>
        <v>0</v>
      </c>
      <c r="AY32" s="55">
        <f>maprop(AY33,AO34,AJ32,AM35,AO35,8)</f>
        <v>0</v>
      </c>
      <c r="AZ32" s="57">
        <f>maprop(AZ33,AO34,AJ32,AM35,AO35,8)</f>
        <v>0</v>
      </c>
      <c r="BA32" s="58">
        <f>maprop(BA33,AO34,AJ32,AM35,AO35,8)</f>
        <v>0</v>
      </c>
      <c r="BB32" s="55">
        <f>maprop(BB33,AO34,AJ32,AM35,AO35,8)</f>
        <v>0</v>
      </c>
      <c r="BC32" s="55">
        <f>maprop(BC33,AO34,AJ32,AM35,AO35,8)</f>
        <v>0</v>
      </c>
      <c r="BD32" s="56">
        <f>maprop(BD33,AO34,AJ32,AM35,AO35,8)</f>
        <v>0</v>
      </c>
      <c r="BE32" s="59">
        <f>maprop(BE33,AO34,AJ32,AM35,AO35,8)</f>
        <v>0</v>
      </c>
    </row>
    <row r="33" spans="1:60" ht="9.75" customHeight="1">
      <c r="A33" s="6"/>
      <c r="B33" s="6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E33" s="1"/>
      <c r="AJ33" s="3"/>
      <c r="AK33" s="18">
        <v>0.001</v>
      </c>
      <c r="AL33" s="22">
        <f>AK33+(BE33-AK33)/20*1</f>
        <v>1.5009499999999998</v>
      </c>
      <c r="AM33" s="22">
        <f>AK33+(BE33-AK33)/20*2</f>
        <v>3.0008999999999997</v>
      </c>
      <c r="AN33" s="22">
        <f>AK33+(BE33-AK33)/20*3</f>
        <v>4.50085</v>
      </c>
      <c r="AO33" s="24">
        <f>AK33+(BE33-AK33)/20*4</f>
        <v>6.0008</v>
      </c>
      <c r="AP33" s="15">
        <f>AK33+(BE33-AK33)/20*5</f>
        <v>7.50075</v>
      </c>
      <c r="AQ33" s="15">
        <f>AK33+(BE33-AK33)/20*6</f>
        <v>9.000699999999998</v>
      </c>
      <c r="AR33" s="25">
        <f>AK33+(BE33-AK33)/20*7</f>
        <v>10.500649999999998</v>
      </c>
      <c r="AS33" s="22">
        <f>AK33+(BE33-AK33)/20*8</f>
        <v>12.000599999999999</v>
      </c>
      <c r="AT33" s="22">
        <f>AK33+(BE33-AK33)/20*9</f>
        <v>13.500549999999999</v>
      </c>
      <c r="AU33" s="22">
        <f>AK33+(BE33-AK33)/20*10</f>
        <v>15.000499999999999</v>
      </c>
      <c r="AV33" s="22">
        <f>AK33+(BE33-AK33)/20*11</f>
        <v>16.50045</v>
      </c>
      <c r="AW33" s="24">
        <f>AK33+(BE33-AK33)/20*12</f>
        <v>18.0004</v>
      </c>
      <c r="AX33" s="15">
        <f>AK33+(BE33-AK33)/20*13</f>
        <v>19.50035</v>
      </c>
      <c r="AY33" s="15">
        <f>AK33+(BE33-AK33)/20*14</f>
        <v>21.0003</v>
      </c>
      <c r="AZ33" s="25">
        <f>AK33+(BE33-AK33)/20*15</f>
        <v>22.50025</v>
      </c>
      <c r="BA33" s="22">
        <f>AK33+(BE33-AK33)/20*16</f>
        <v>24.0002</v>
      </c>
      <c r="BB33" s="22">
        <f>AK33+(BE33-AK33)/20*17</f>
        <v>25.500149999999998</v>
      </c>
      <c r="BC33" s="22">
        <f>AK33+(BE33-AK33)/20*18</f>
        <v>27.0001</v>
      </c>
      <c r="BD33" s="22">
        <f>AK33+(BE33-AK33)/20*19</f>
        <v>28.500049999999998</v>
      </c>
      <c r="BE33" s="138">
        <f>(INT((MAX(X43,AB43)+0.001)/10)+1)*10</f>
        <v>30</v>
      </c>
      <c r="BH33" s="1"/>
    </row>
    <row r="34" spans="1:60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E34" s="1"/>
      <c r="AK34" s="27" t="s">
        <v>85</v>
      </c>
      <c r="AL34" s="1"/>
      <c r="AN34" s="1"/>
      <c r="AO34" s="21" t="s">
        <v>86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H34" s="1"/>
    </row>
    <row r="35" spans="1:60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E35" s="1"/>
      <c r="AJ35" s="1"/>
      <c r="AK35" s="26" t="s">
        <v>87</v>
      </c>
      <c r="AL35" s="1"/>
      <c r="AM35" s="7">
        <f>X45</f>
        <v>0</v>
      </c>
      <c r="AN35" s="1"/>
      <c r="AO35" s="2" t="str">
        <f>AD45</f>
        <v>mmH2O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H35" s="1"/>
    </row>
    <row r="36" spans="1:37" ht="9.75" customHeight="1">
      <c r="A36" s="6"/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E36" s="1"/>
      <c r="AJ36" s="135" t="s">
        <v>289</v>
      </c>
      <c r="AK36" s="66"/>
    </row>
    <row r="37" spans="1:37" ht="9.75" customHeight="1">
      <c r="A37" s="6"/>
      <c r="B37" s="6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9"/>
      <c r="Z37" s="1"/>
      <c r="AA37" s="1"/>
      <c r="AE37" s="1"/>
      <c r="AJ37" s="127">
        <f>E44</f>
        <v>0.001800080102231333</v>
      </c>
      <c r="AK37" s="127">
        <f>N44</f>
        <v>0.009445580914533354</v>
      </c>
    </row>
    <row r="38" spans="1:37" ht="9.75" customHeight="1">
      <c r="A38" s="1"/>
      <c r="B38" s="1"/>
      <c r="C38" s="76" t="s">
        <v>191</v>
      </c>
      <c r="Z38" s="1"/>
      <c r="AE38" s="1"/>
      <c r="AJ38" s="127">
        <f>X43</f>
        <v>20</v>
      </c>
      <c r="AK38" s="127">
        <f>AB43</f>
        <v>20.2</v>
      </c>
    </row>
    <row r="39" spans="1:31" ht="9.75" customHeight="1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E39" s="1"/>
    </row>
    <row r="40" spans="1:33" ht="9.75" customHeight="1">
      <c r="A40" s="6"/>
      <c r="B40" s="6"/>
      <c r="D40" s="194" t="s">
        <v>88</v>
      </c>
      <c r="E40" s="194"/>
      <c r="F40" s="194"/>
      <c r="M40" s="194" t="s">
        <v>89</v>
      </c>
      <c r="N40" s="194"/>
      <c r="O40" s="194"/>
      <c r="R40" s="133" t="s">
        <v>193</v>
      </c>
      <c r="S40" s="133"/>
      <c r="T40" s="133"/>
      <c r="U40" s="133"/>
      <c r="V40" s="133"/>
      <c r="W40" s="133"/>
      <c r="X40" s="133"/>
      <c r="Y40" s="133"/>
      <c r="Z40" s="134"/>
      <c r="AA40" s="133"/>
      <c r="AB40" s="133"/>
      <c r="AC40" s="133"/>
      <c r="AD40" s="133"/>
      <c r="AE40" s="133"/>
      <c r="AF40" s="133"/>
      <c r="AG40" s="133"/>
    </row>
    <row r="41" spans="1:43" ht="9.75" customHeight="1">
      <c r="A41" s="6"/>
      <c r="B41" s="6"/>
      <c r="C41" s="1"/>
      <c r="G41" s="1"/>
      <c r="H41" s="1"/>
      <c r="I41" s="1"/>
      <c r="J41" s="1"/>
      <c r="K41" s="1"/>
      <c r="L41" s="1"/>
      <c r="P41" s="1"/>
      <c r="Q41" s="1"/>
      <c r="R41" s="9"/>
      <c r="S41" s="9"/>
      <c r="T41" s="9"/>
      <c r="U41" s="9"/>
      <c r="V41" s="9"/>
      <c r="W41" s="9"/>
      <c r="X41" s="178" t="str">
        <f>D40</f>
        <v>State 1</v>
      </c>
      <c r="Y41" s="178"/>
      <c r="Z41" s="6"/>
      <c r="AA41" s="32"/>
      <c r="AB41" s="178" t="str">
        <f>M40</f>
        <v>State 2</v>
      </c>
      <c r="AC41" s="178"/>
      <c r="AD41" s="9"/>
      <c r="AE41" s="9"/>
      <c r="AF41" s="9"/>
      <c r="AG41" s="9"/>
      <c r="AJ41" s="16" t="s">
        <v>90</v>
      </c>
      <c r="AQ41" s="127" t="str">
        <f>M40</f>
        <v>State 2</v>
      </c>
    </row>
    <row r="42" spans="1:48" ht="9.75" customHeight="1">
      <c r="A42" s="6"/>
      <c r="B42" s="6"/>
      <c r="C42" s="1"/>
      <c r="D42" s="23" t="s">
        <v>91</v>
      </c>
      <c r="E42" s="195">
        <f>X49</f>
        <v>5989.161966586722</v>
      </c>
      <c r="F42" s="195"/>
      <c r="G42" s="1"/>
      <c r="H42" s="1"/>
      <c r="I42" s="1"/>
      <c r="J42" s="1"/>
      <c r="K42" s="1"/>
      <c r="L42" s="1"/>
      <c r="M42" s="23" t="s">
        <v>91</v>
      </c>
      <c r="N42" s="195">
        <f>AB49</f>
        <v>5989.161966586722</v>
      </c>
      <c r="O42" s="195"/>
      <c r="P42" s="1"/>
      <c r="Q42" s="1"/>
      <c r="R42" s="69" t="s">
        <v>104</v>
      </c>
      <c r="S42" s="69"/>
      <c r="T42" s="69"/>
      <c r="U42" s="17"/>
      <c r="V42" s="69"/>
      <c r="W42" s="17"/>
      <c r="X42" s="201">
        <f>100*60</f>
        <v>6000</v>
      </c>
      <c r="Y42" s="201"/>
      <c r="Z42" s="68"/>
      <c r="AA42" s="17"/>
      <c r="AB42" s="176">
        <f>IF(AD42="m3/h",AB47,IF(AD42="kg/h",AS56,IF(AD42="Nm3/h",AS56/AS52)))</f>
        <v>6045.790142680547</v>
      </c>
      <c r="AC42" s="176"/>
      <c r="AD42" s="17" t="s">
        <v>40</v>
      </c>
      <c r="AE42" s="17"/>
      <c r="AF42" s="17"/>
      <c r="AG42" s="17"/>
      <c r="AJ42" s="28" t="s">
        <v>93</v>
      </c>
      <c r="AK42" s="28"/>
      <c r="AL42" s="178" t="s">
        <v>94</v>
      </c>
      <c r="AM42" s="178"/>
      <c r="AN42" s="190" t="s">
        <v>95</v>
      </c>
      <c r="AO42" s="190"/>
      <c r="AQ42" s="28" t="s">
        <v>64</v>
      </c>
      <c r="AR42" s="28"/>
      <c r="AS42" s="178" t="str">
        <f>AL42</f>
        <v>volume%</v>
      </c>
      <c r="AT42" s="178"/>
      <c r="AU42" s="190" t="s">
        <v>66</v>
      </c>
      <c r="AV42" s="190"/>
    </row>
    <row r="43" spans="1:48" ht="9.75" customHeight="1">
      <c r="A43" s="1"/>
      <c r="B43" s="1"/>
      <c r="C43" s="1"/>
      <c r="D43" s="23" t="s">
        <v>96</v>
      </c>
      <c r="E43" s="196">
        <f>X51</f>
        <v>5.896798139709325</v>
      </c>
      <c r="F43" s="196"/>
      <c r="G43" s="1"/>
      <c r="H43" s="1"/>
      <c r="I43" s="1"/>
      <c r="J43" s="1"/>
      <c r="K43" s="1"/>
      <c r="L43" s="1"/>
      <c r="M43" s="23" t="s">
        <v>97</v>
      </c>
      <c r="N43" s="196">
        <f>AB51</f>
        <v>10.578631955928056</v>
      </c>
      <c r="O43" s="196"/>
      <c r="P43" s="1"/>
      <c r="Q43" s="1"/>
      <c r="R43" s="68" t="s">
        <v>92</v>
      </c>
      <c r="S43" s="68"/>
      <c r="T43" s="68"/>
      <c r="U43" s="68"/>
      <c r="V43" s="68"/>
      <c r="W43" s="68"/>
      <c r="X43" s="188">
        <v>20</v>
      </c>
      <c r="Y43" s="188"/>
      <c r="Z43" s="17"/>
      <c r="AA43" s="17"/>
      <c r="AB43" s="188">
        <v>20.2</v>
      </c>
      <c r="AC43" s="188"/>
      <c r="AD43" s="74" t="s">
        <v>35</v>
      </c>
      <c r="AE43" s="17"/>
      <c r="AF43" s="17"/>
      <c r="AG43" s="17"/>
      <c r="AJ43" s="29" t="s">
        <v>100</v>
      </c>
      <c r="AK43" s="29"/>
      <c r="AL43" s="179">
        <f>((fprop("Saturated","H2O",X43,AD43,0,"","Yes",0,1,10)+1.033227)*X44/100)/(pressconv(X45,AD45,"kg/cm2.g")+1.033227)*100</f>
        <v>0.28857831136330186</v>
      </c>
      <c r="AM43" s="179"/>
      <c r="AN43" s="143">
        <v>0</v>
      </c>
      <c r="AO43" s="143"/>
      <c r="AQ43" s="29" t="s">
        <v>69</v>
      </c>
      <c r="AR43" s="29"/>
      <c r="AS43" s="210">
        <f>(AL56/AL52*AL43/100+X50/18.0152*22.41383)/(AL56/AL52+X50/18.0152*22.41383)*100</f>
        <v>1.4959245917290707</v>
      </c>
      <c r="AT43" s="210"/>
      <c r="AU43" s="211">
        <f>AN43</f>
        <v>0</v>
      </c>
      <c r="AV43" s="211"/>
    </row>
    <row r="44" spans="1:48" ht="9.75" customHeight="1">
      <c r="A44" s="6"/>
      <c r="B44" s="6"/>
      <c r="C44" s="1"/>
      <c r="D44" s="23" t="s">
        <v>101</v>
      </c>
      <c r="E44" s="197">
        <f>X46</f>
        <v>0.001800080102231333</v>
      </c>
      <c r="F44" s="197"/>
      <c r="G44" s="1"/>
      <c r="H44" s="1"/>
      <c r="I44" s="1"/>
      <c r="J44" s="1"/>
      <c r="K44" s="1"/>
      <c r="L44" s="1"/>
      <c r="M44" s="23" t="s">
        <v>102</v>
      </c>
      <c r="N44" s="197">
        <f>AB46</f>
        <v>0.009445580914533354</v>
      </c>
      <c r="O44" s="197"/>
      <c r="P44" s="1"/>
      <c r="Q44" s="1"/>
      <c r="R44" s="68" t="s">
        <v>98</v>
      </c>
      <c r="S44" s="68"/>
      <c r="T44" s="68"/>
      <c r="U44" s="68"/>
      <c r="V44" s="68"/>
      <c r="W44" s="68"/>
      <c r="X44" s="188">
        <v>12.5</v>
      </c>
      <c r="Y44" s="188"/>
      <c r="Z44" s="68"/>
      <c r="AA44" s="17"/>
      <c r="AB44" s="188">
        <v>64</v>
      </c>
      <c r="AC44" s="188"/>
      <c r="AD44" s="68" t="s">
        <v>99</v>
      </c>
      <c r="AE44" s="17"/>
      <c r="AF44" s="17"/>
      <c r="AG44" s="17"/>
      <c r="AJ44" s="17" t="s">
        <v>103</v>
      </c>
      <c r="AK44" s="17"/>
      <c r="AL44" s="180">
        <f>(100-AL43)*AN44/AN50</f>
        <v>77.86100234142533</v>
      </c>
      <c r="AM44" s="180"/>
      <c r="AN44" s="188">
        <v>78.084</v>
      </c>
      <c r="AO44" s="188"/>
      <c r="AQ44" s="17" t="s">
        <v>70</v>
      </c>
      <c r="AR44" s="17"/>
      <c r="AS44" s="180">
        <f>(100-AS43)*AU44/AU50</f>
        <v>76.91822978868794</v>
      </c>
      <c r="AT44" s="180"/>
      <c r="AU44" s="204">
        <f>AN44</f>
        <v>78.084</v>
      </c>
      <c r="AV44" s="204"/>
    </row>
    <row r="45" spans="1:48" ht="9.75" customHeight="1">
      <c r="A45" s="6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 t="s">
        <v>87</v>
      </c>
      <c r="S45" s="17"/>
      <c r="T45" s="17"/>
      <c r="U45" s="17"/>
      <c r="V45" s="17"/>
      <c r="W45" s="17"/>
      <c r="X45" s="188">
        <v>0</v>
      </c>
      <c r="Y45" s="188"/>
      <c r="Z45" s="68"/>
      <c r="AA45" s="17"/>
      <c r="AB45" s="149">
        <f>X45</f>
        <v>0</v>
      </c>
      <c r="AC45" s="149"/>
      <c r="AD45" s="17" t="s">
        <v>12</v>
      </c>
      <c r="AE45" s="17"/>
      <c r="AF45" s="17"/>
      <c r="AG45" s="17"/>
      <c r="AJ45" s="17" t="s">
        <v>105</v>
      </c>
      <c r="AK45" s="17"/>
      <c r="AL45" s="180">
        <f>(100-AL43)*AN45/AN50</f>
        <v>20.88777640294095</v>
      </c>
      <c r="AM45" s="180"/>
      <c r="AN45" s="188">
        <v>20.9476</v>
      </c>
      <c r="AO45" s="188"/>
      <c r="AQ45" s="17" t="s">
        <v>72</v>
      </c>
      <c r="AR45" s="17"/>
      <c r="AS45" s="180">
        <f>(100-AS43)*AU45/AU50</f>
        <v>20.634858745985344</v>
      </c>
      <c r="AT45" s="180"/>
      <c r="AU45" s="204">
        <f>AN45</f>
        <v>20.9476</v>
      </c>
      <c r="AV45" s="204"/>
    </row>
    <row r="46" spans="1:48" ht="9.75" customHeight="1">
      <c r="A46" s="1"/>
      <c r="B46" s="1"/>
      <c r="C46" s="1"/>
      <c r="D46" s="1"/>
      <c r="E46" s="1"/>
      <c r="F46" s="1"/>
      <c r="G46" s="1"/>
      <c r="H46" s="1"/>
      <c r="I46" s="172" t="s">
        <v>146</v>
      </c>
      <c r="J46" s="172"/>
      <c r="K46" s="1"/>
      <c r="L46" s="1"/>
      <c r="M46" s="1"/>
      <c r="N46" s="1"/>
      <c r="O46" s="1"/>
      <c r="P46" s="1"/>
      <c r="Q46" s="1"/>
      <c r="R46" s="17" t="s">
        <v>282</v>
      </c>
      <c r="S46" s="17"/>
      <c r="T46" s="17"/>
      <c r="U46" s="17"/>
      <c r="V46" s="17"/>
      <c r="W46" s="121" t="str">
        <f>D44</f>
        <v>W1</v>
      </c>
      <c r="X46" s="149">
        <f>maprop(X43,AD43,X44,X45,AD45,8)</f>
        <v>0.001800080102231333</v>
      </c>
      <c r="Y46" s="149"/>
      <c r="Z46" s="17"/>
      <c r="AA46" s="121" t="str">
        <f>M44</f>
        <v>W2</v>
      </c>
      <c r="AB46" s="149">
        <f>maprop(AB43,AD43,AB44,AB45,AD45,8)</f>
        <v>0.009445580914533354</v>
      </c>
      <c r="AC46" s="149"/>
      <c r="AD46" s="17" t="s">
        <v>108</v>
      </c>
      <c r="AE46" s="17"/>
      <c r="AF46" s="17"/>
      <c r="AG46" s="17"/>
      <c r="AJ46" s="17" t="s">
        <v>107</v>
      </c>
      <c r="AK46" s="17"/>
      <c r="AL46" s="180">
        <f>(100-AL43)*AN46/AN50</f>
        <v>0.9313326185504234</v>
      </c>
      <c r="AM46" s="180"/>
      <c r="AN46" s="188">
        <v>0.934</v>
      </c>
      <c r="AO46" s="188"/>
      <c r="AQ46" s="17" t="s">
        <v>74</v>
      </c>
      <c r="AR46" s="17"/>
      <c r="AS46" s="180">
        <f>(100-AS43)*AU46/AU50</f>
        <v>0.9200556659832301</v>
      </c>
      <c r="AT46" s="180"/>
      <c r="AU46" s="204">
        <f>AN46</f>
        <v>0.934</v>
      </c>
      <c r="AV46" s="204"/>
    </row>
    <row r="47" spans="1:48" ht="9.75" customHeight="1">
      <c r="A47" s="6"/>
      <c r="B47" s="6"/>
      <c r="C47" s="1"/>
      <c r="D47" s="1"/>
      <c r="E47" s="1"/>
      <c r="F47" s="1"/>
      <c r="G47" s="1"/>
      <c r="H47" s="1"/>
      <c r="I47" s="172" t="s">
        <v>148</v>
      </c>
      <c r="J47" s="172"/>
      <c r="K47" s="1"/>
      <c r="L47" s="1"/>
      <c r="M47" s="1"/>
      <c r="N47" s="1"/>
      <c r="O47" s="1"/>
      <c r="P47" s="1"/>
      <c r="Q47" s="1"/>
      <c r="R47" s="69" t="s">
        <v>104</v>
      </c>
      <c r="S47" s="69"/>
      <c r="T47" s="69"/>
      <c r="U47" s="17" t="s">
        <v>185</v>
      </c>
      <c r="V47" s="69"/>
      <c r="W47" s="17"/>
      <c r="X47" s="176">
        <f>AL56/AL55</f>
        <v>4988.38571249189</v>
      </c>
      <c r="Y47" s="176"/>
      <c r="Z47" s="68"/>
      <c r="AA47" s="73"/>
      <c r="AB47" s="176">
        <f>AB49*AB48</f>
        <v>5052.972469196</v>
      </c>
      <c r="AC47" s="176"/>
      <c r="AD47" s="17" t="s">
        <v>186</v>
      </c>
      <c r="AE47" s="17"/>
      <c r="AF47" s="17"/>
      <c r="AG47" s="17"/>
      <c r="AJ47" s="17" t="s">
        <v>109</v>
      </c>
      <c r="AK47" s="17"/>
      <c r="AL47" s="180">
        <f>(100-AL43)*AN47/AN50</f>
        <v>0.03131032572000352</v>
      </c>
      <c r="AM47" s="180"/>
      <c r="AN47" s="188">
        <v>0.0314</v>
      </c>
      <c r="AO47" s="188"/>
      <c r="AQ47" s="17" t="s">
        <v>76</v>
      </c>
      <c r="AR47" s="17"/>
      <c r="AS47" s="180">
        <f>(100-AS43)*AU47/AU50</f>
        <v>0.030931207614425506</v>
      </c>
      <c r="AT47" s="180"/>
      <c r="AU47" s="204">
        <f>AN47</f>
        <v>0.0314</v>
      </c>
      <c r="AV47" s="204"/>
    </row>
    <row r="48" spans="1:48" ht="9.75" customHeight="1">
      <c r="A48" s="6"/>
      <c r="B48" s="6"/>
      <c r="C48" s="1"/>
      <c r="D48" s="1"/>
      <c r="E48" s="1"/>
      <c r="F48" s="1"/>
      <c r="G48" s="1"/>
      <c r="H48" s="1"/>
      <c r="K48" s="1"/>
      <c r="L48" s="1"/>
      <c r="M48" s="1"/>
      <c r="N48" s="1"/>
      <c r="O48" s="1"/>
      <c r="P48" s="1"/>
      <c r="Q48" s="1"/>
      <c r="R48" s="17" t="s">
        <v>188</v>
      </c>
      <c r="S48" s="17"/>
      <c r="T48" s="17"/>
      <c r="U48" s="17"/>
      <c r="V48" s="17"/>
      <c r="W48" s="17"/>
      <c r="X48" s="180">
        <f>maprop(X43,AD43,X44,X45,AD45,1)</f>
        <v>0.8329021222538112</v>
      </c>
      <c r="Y48" s="180"/>
      <c r="Z48" s="68"/>
      <c r="AA48" s="17"/>
      <c r="AB48" s="180">
        <f>maprop(AB43,AD43,AB44,AB45,AD45,1)</f>
        <v>0.8436860611528486</v>
      </c>
      <c r="AC48" s="180"/>
      <c r="AD48" s="17" t="s">
        <v>187</v>
      </c>
      <c r="AE48" s="17"/>
      <c r="AF48" s="17"/>
      <c r="AG48" s="17"/>
      <c r="AJ48" s="30"/>
      <c r="AK48" s="30"/>
      <c r="AL48" s="184"/>
      <c r="AM48" s="184"/>
      <c r="AN48" s="182"/>
      <c r="AO48" s="182"/>
      <c r="AQ48" s="30"/>
      <c r="AR48" s="30"/>
      <c r="AS48" s="184"/>
      <c r="AT48" s="184"/>
      <c r="AU48" s="182"/>
      <c r="AV48" s="182"/>
    </row>
    <row r="49" spans="1:48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07" t="s">
        <v>189</v>
      </c>
      <c r="S49" s="207"/>
      <c r="T49" s="207"/>
      <c r="U49" s="17"/>
      <c r="V49" s="17"/>
      <c r="W49" s="121" t="str">
        <f>D42</f>
        <v>ma</v>
      </c>
      <c r="X49" s="176">
        <f>X47/X48</f>
        <v>5989.161966586722</v>
      </c>
      <c r="Y49" s="176"/>
      <c r="Z49" s="17"/>
      <c r="AA49" s="122" t="str">
        <f>M42</f>
        <v>ma</v>
      </c>
      <c r="AB49" s="176">
        <f>X49</f>
        <v>5989.161966586722</v>
      </c>
      <c r="AC49" s="176"/>
      <c r="AD49" s="17" t="s">
        <v>190</v>
      </c>
      <c r="AE49" s="17"/>
      <c r="AF49" s="17"/>
      <c r="AG49" s="17"/>
      <c r="AJ49" s="31"/>
      <c r="AK49" s="31"/>
      <c r="AL49" s="200"/>
      <c r="AM49" s="200"/>
      <c r="AN49" s="183"/>
      <c r="AO49" s="183"/>
      <c r="AQ49" s="31"/>
      <c r="AR49" s="31"/>
      <c r="AS49" s="200"/>
      <c r="AT49" s="200"/>
      <c r="AU49" s="183"/>
      <c r="AV49" s="183"/>
    </row>
    <row r="50" spans="1:48" ht="9.75" customHeight="1">
      <c r="A50" s="6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09"/>
      <c r="S50" s="209"/>
      <c r="T50" s="209"/>
      <c r="W50" s="132" t="str">
        <f>I46</f>
        <v>mw</v>
      </c>
      <c r="X50" s="176">
        <f>X49*(AB46-X46)</f>
        <v>45.790142680547156</v>
      </c>
      <c r="Y50" s="176"/>
      <c r="Z50" s="68"/>
      <c r="AD50" s="2" t="s">
        <v>43</v>
      </c>
      <c r="AJ50" s="28" t="s">
        <v>113</v>
      </c>
      <c r="AK50" s="28"/>
      <c r="AL50" s="186">
        <f>SUM(AL43:AM49)</f>
        <v>100.00000000000001</v>
      </c>
      <c r="AM50" s="186"/>
      <c r="AN50" s="185">
        <f>SUM(AN43:AP49)</f>
        <v>99.997</v>
      </c>
      <c r="AO50" s="185"/>
      <c r="AQ50" s="28" t="s">
        <v>79</v>
      </c>
      <c r="AR50" s="28"/>
      <c r="AS50" s="186">
        <f>SUM(AS43:AT49)</f>
        <v>100</v>
      </c>
      <c r="AT50" s="186"/>
      <c r="AU50" s="185">
        <f>SUM(AU43:AW49)</f>
        <v>99.997</v>
      </c>
      <c r="AV50" s="185"/>
    </row>
    <row r="51" spans="1:48" ht="9.75" customHeight="1">
      <c r="A51" s="1"/>
      <c r="B51" s="1"/>
      <c r="G51" s="1"/>
      <c r="I51" s="1"/>
      <c r="R51" s="207" t="s">
        <v>281</v>
      </c>
      <c r="S51" s="207"/>
      <c r="T51" s="207"/>
      <c r="U51" s="17"/>
      <c r="V51" s="17"/>
      <c r="W51" s="121" t="str">
        <f>D43</f>
        <v>h1</v>
      </c>
      <c r="X51" s="191">
        <f>maprop(X43,AD43,X44,X45,AD45,3)</f>
        <v>5.896798139709325</v>
      </c>
      <c r="Y51" s="191"/>
      <c r="Z51" s="17"/>
      <c r="AA51" s="121" t="str">
        <f>M43</f>
        <v>h2</v>
      </c>
      <c r="AB51" s="191">
        <f>maprop(AB43,AD43,AB44,AB45,AD45,3)</f>
        <v>10.578631955928056</v>
      </c>
      <c r="AC51" s="191"/>
      <c r="AD51" s="17" t="s">
        <v>106</v>
      </c>
      <c r="AE51" s="17"/>
      <c r="AF51" s="17"/>
      <c r="AG51" s="17"/>
      <c r="AJ51" s="29" t="s">
        <v>114</v>
      </c>
      <c r="AK51" s="29"/>
      <c r="AL51" s="187">
        <f>gmconv(AJ43,AJ44,AJ45,AJ46,AJ47,"","","","","",AL43,AL44,AL45,AL46,AL47,0,0,0,0,0,AL42,-1)</f>
        <v>28.933168151673076</v>
      </c>
      <c r="AM51" s="187"/>
      <c r="AN51" s="29"/>
      <c r="AO51" s="32"/>
      <c r="AQ51" s="29" t="s">
        <v>80</v>
      </c>
      <c r="AR51" s="29"/>
      <c r="AS51" s="187">
        <f>gmconv(AQ43,AQ44,AQ45,AQ46,AQ47,"","","","","",AS43,AS44,AS45,AS46,AS47,0,0,0,0,0,AS42,-1)</f>
        <v>28.80096897113952</v>
      </c>
      <c r="AT51" s="187"/>
      <c r="AU51" s="29"/>
      <c r="AV51" s="32"/>
    </row>
    <row r="52" spans="1:48" ht="9.75" customHeight="1">
      <c r="A52" s="1"/>
      <c r="B52" s="1"/>
      <c r="G52" s="1"/>
      <c r="I52" s="1"/>
      <c r="R52" s="208"/>
      <c r="S52" s="208"/>
      <c r="T52" s="208"/>
      <c r="U52" s="17"/>
      <c r="V52" s="17"/>
      <c r="W52" s="17"/>
      <c r="X52" s="191">
        <f>X51*4.1868</f>
        <v>24.688714451335002</v>
      </c>
      <c r="Y52" s="191"/>
      <c r="Z52" s="68"/>
      <c r="AA52" s="17"/>
      <c r="AB52" s="191">
        <f>AB51*4.1868</f>
        <v>44.290616273079586</v>
      </c>
      <c r="AC52" s="191"/>
      <c r="AD52" s="17" t="s">
        <v>288</v>
      </c>
      <c r="AE52" s="17"/>
      <c r="AF52" s="17"/>
      <c r="AG52" s="17"/>
      <c r="AJ52" s="17" t="s">
        <v>110</v>
      </c>
      <c r="AK52" s="17"/>
      <c r="AL52" s="181">
        <f>gmconv(AJ43,AJ44,AJ45,AJ46,AJ47,"","","","","",AL43,AL44,AL45,AL46,AL47,0,0,0,0,0,AL42,-2)</f>
        <v>1.2908623002705506</v>
      </c>
      <c r="AM52" s="181"/>
      <c r="AN52" s="17" t="s">
        <v>278</v>
      </c>
      <c r="AO52" s="17"/>
      <c r="AP52" s="1"/>
      <c r="AQ52" s="17" t="s">
        <v>77</v>
      </c>
      <c r="AR52" s="17"/>
      <c r="AS52" s="181">
        <f>gmconv(AQ43,AQ44,AQ45,AQ46,AQ47,"","","","","",AS43,AS44,AS45,AS46,AS47,0,0,0,0,0,AS42,-2)</f>
        <v>1.2849641926943998</v>
      </c>
      <c r="AT52" s="181"/>
      <c r="AU52" s="17" t="s">
        <v>278</v>
      </c>
      <c r="AV52" s="17"/>
    </row>
    <row r="53" spans="1:48" ht="9.75" customHeight="1">
      <c r="A53" s="6"/>
      <c r="B53" s="6"/>
      <c r="C53" s="66" t="s">
        <v>192</v>
      </c>
      <c r="G53" s="1"/>
      <c r="R53" s="209"/>
      <c r="S53" s="209"/>
      <c r="T53" s="209"/>
      <c r="U53" s="17"/>
      <c r="V53" s="17"/>
      <c r="W53" s="121" t="str">
        <f>I47</f>
        <v>hw</v>
      </c>
      <c r="X53" s="206">
        <f>(AB51-X51)/(AB46-X46)</f>
        <v>612.3645698507296</v>
      </c>
      <c r="Y53" s="206"/>
      <c r="Z53" s="17"/>
      <c r="AA53" s="17"/>
      <c r="AB53" s="17"/>
      <c r="AC53" s="17"/>
      <c r="AD53" s="17" t="s">
        <v>285</v>
      </c>
      <c r="AE53" s="17"/>
      <c r="AF53" s="17"/>
      <c r="AG53" s="17"/>
      <c r="AJ53" s="33" t="s">
        <v>115</v>
      </c>
      <c r="AK53" s="33"/>
      <c r="AL53" s="177" t="str">
        <f>gmprop(X43,AD43,X45,AD45,AJ43,AJ44,AJ45,AJ46,AJ47,"","","","","",AL43,AL44,AL45,AL46,AL47,0,0,0,0,0,AL42,-4)</f>
        <v>- N/A -</v>
      </c>
      <c r="AM53" s="177"/>
      <c r="AN53" s="34" t="s">
        <v>86</v>
      </c>
      <c r="AO53" s="35"/>
      <c r="AP53" s="1"/>
      <c r="AQ53" s="33" t="s">
        <v>81</v>
      </c>
      <c r="AR53" s="33"/>
      <c r="AS53" s="177">
        <f>gmprop(AB43,AD43,AB45,AD45,AQ43,AQ44,AQ45,AQ46,AQ47,"","","","","",AS43,AS44,AS45,AS46,AS47,0,0,0,0,0,AS42,-4)</f>
        <v>13.179463711843425</v>
      </c>
      <c r="AT53" s="177"/>
      <c r="AU53" s="34" t="s">
        <v>10</v>
      </c>
      <c r="AV53" s="35"/>
    </row>
    <row r="54" spans="1:33" ht="9.75" customHeight="1">
      <c r="A54" s="1"/>
      <c r="B54" s="1"/>
      <c r="G54" s="1"/>
      <c r="R54" s="33" t="s">
        <v>286</v>
      </c>
      <c r="S54" s="33"/>
      <c r="T54" s="33"/>
      <c r="U54" s="33"/>
      <c r="V54" s="33"/>
      <c r="W54" s="193">
        <f>X49*X51+X50*X53</f>
        <v>63357.14016896322</v>
      </c>
      <c r="X54" s="193"/>
      <c r="Y54" s="193"/>
      <c r="Z54" s="114"/>
      <c r="AA54" s="71" t="s">
        <v>179</v>
      </c>
      <c r="AB54" s="193">
        <f>AB49*AB51</f>
        <v>63357.14016896322</v>
      </c>
      <c r="AC54" s="193"/>
      <c r="AD54" s="33" t="s">
        <v>287</v>
      </c>
      <c r="AE54" s="33"/>
      <c r="AF54" s="33"/>
      <c r="AG54" s="33"/>
    </row>
    <row r="55" spans="1:48" ht="9.75" customHeight="1">
      <c r="A55" s="6"/>
      <c r="B55" s="6"/>
      <c r="C55" s="6"/>
      <c r="K55" s="67"/>
      <c r="L55" s="6"/>
      <c r="R55" s="1"/>
      <c r="Z55" s="1"/>
      <c r="AJ55" s="17" t="s">
        <v>110</v>
      </c>
      <c r="AK55" s="17"/>
      <c r="AL55" s="180">
        <f>gmprop(X43,AD43,X45,AD45,AJ43,AJ44,AJ45,AJ46,AJ47,"","","","","",AL43,AL44,AL45,AL46,AL47,0,0,0,0,0,AL42,2)</f>
        <v>1.2027939188773695</v>
      </c>
      <c r="AM55" s="180"/>
      <c r="AN55" s="17" t="s">
        <v>111</v>
      </c>
      <c r="AO55" s="1"/>
      <c r="AQ55" s="17" t="s">
        <v>77</v>
      </c>
      <c r="AR55" s="17"/>
      <c r="AS55" s="180">
        <f>gmprop(AB43,AD43,AB45,AD45,AQ43,AQ44,AQ45,AQ46,AQ47,"","","","","",AS43,AS44,AS45,AS46,AS47,0,0,0,0,0,AS42,2)</f>
        <v>1.1964819131906437</v>
      </c>
      <c r="AT55" s="180"/>
      <c r="AU55" s="17" t="s">
        <v>78</v>
      </c>
      <c r="AV55" s="1"/>
    </row>
    <row r="56" spans="1:48" ht="9.75" customHeight="1">
      <c r="A56" s="1"/>
      <c r="B56" s="1"/>
      <c r="C56" s="6"/>
      <c r="D56" s="67" t="str">
        <f>D42</f>
        <v>ma</v>
      </c>
      <c r="E56" s="67" t="str">
        <f>D43</f>
        <v>h1</v>
      </c>
      <c r="F56" s="67" t="s">
        <v>274</v>
      </c>
      <c r="G56" s="67" t="str">
        <f>I46</f>
        <v>mw</v>
      </c>
      <c r="H56" s="67" t="str">
        <f>I47</f>
        <v>hw</v>
      </c>
      <c r="I56" s="67" t="s">
        <v>275</v>
      </c>
      <c r="J56" s="67" t="str">
        <f>M42</f>
        <v>ma</v>
      </c>
      <c r="K56" s="67" t="str">
        <f>M43</f>
        <v>h2</v>
      </c>
      <c r="L56" s="6"/>
      <c r="Z56" s="1"/>
      <c r="AJ56" s="69" t="s">
        <v>104</v>
      </c>
      <c r="AK56" s="69"/>
      <c r="AL56" s="199">
        <f>IF(AD42="kg/h",X42,IF(AD42="m3/h",X42*AL55,IF(AD42="Nm3/h",X42*AL52)))</f>
        <v>6000</v>
      </c>
      <c r="AM56" s="199"/>
      <c r="AN56" s="70" t="s">
        <v>112</v>
      </c>
      <c r="AO56" s="1"/>
      <c r="AQ56" s="69" t="s">
        <v>71</v>
      </c>
      <c r="AR56" s="17"/>
      <c r="AS56" s="212">
        <f>AL56+X50</f>
        <v>6045.790142680547</v>
      </c>
      <c r="AT56" s="212"/>
      <c r="AU56" s="70" t="s">
        <v>43</v>
      </c>
      <c r="AV56" s="1"/>
    </row>
    <row r="57" spans="1:43" ht="9.75" customHeight="1">
      <c r="A57" s="6"/>
      <c r="B57" s="6"/>
      <c r="C57" s="6"/>
      <c r="D57" s="67" t="str">
        <f>D56</f>
        <v>ma</v>
      </c>
      <c r="E57" s="67" t="str">
        <f>D44</f>
        <v>W1</v>
      </c>
      <c r="F57" s="67" t="s">
        <v>274</v>
      </c>
      <c r="G57" s="67" t="str">
        <f>G56</f>
        <v>mw</v>
      </c>
      <c r="H57" s="67"/>
      <c r="I57" s="67" t="s">
        <v>275</v>
      </c>
      <c r="J57" s="67" t="str">
        <f>J56</f>
        <v>ma</v>
      </c>
      <c r="K57" s="67" t="str">
        <f>M44</f>
        <v>W2</v>
      </c>
      <c r="L57" s="6"/>
      <c r="R57" s="1"/>
      <c r="Z57" s="6"/>
      <c r="AO57" s="1"/>
      <c r="AP57" s="1"/>
      <c r="AQ57" s="1"/>
    </row>
    <row r="58" spans="1:46" ht="9.75" customHeight="1">
      <c r="A58" s="1"/>
      <c r="B58" s="1"/>
      <c r="C58" s="6"/>
      <c r="D58" s="6"/>
      <c r="E58" s="6"/>
      <c r="F58" s="6"/>
      <c r="G58" s="6"/>
      <c r="H58" s="6"/>
      <c r="I58" s="6"/>
      <c r="J58" s="6"/>
      <c r="K58" s="6"/>
      <c r="L58" s="6"/>
      <c r="R58" s="1"/>
      <c r="Z58" s="1"/>
      <c r="AE58" s="1"/>
      <c r="AQ58" s="127" t="str">
        <f>R44</f>
        <v>Relative Humidity</v>
      </c>
      <c r="AS58" s="213">
        <f>gmprop(AB43,AD43,AB45,AD45,AQ43,AQ44,AQ45,AQ46,AQ47,"","","","","",AS43,AS44,AS45,AS46,AS47,0,0,0,0,0,AS42,-3)</f>
        <v>63.999982878257</v>
      </c>
      <c r="AT58" s="213"/>
    </row>
    <row r="59" spans="1:46" ht="9.75" customHeight="1">
      <c r="A59" s="6"/>
      <c r="B59" s="6"/>
      <c r="C59" s="217" t="s">
        <v>276</v>
      </c>
      <c r="D59" s="7" t="str">
        <f>K56</f>
        <v>h2</v>
      </c>
      <c r="E59" s="67" t="s">
        <v>277</v>
      </c>
      <c r="F59" s="67" t="str">
        <f>E56</f>
        <v>h1</v>
      </c>
      <c r="G59" s="218" t="s">
        <v>275</v>
      </c>
      <c r="H59" s="218" t="str">
        <f>H56</f>
        <v>hw</v>
      </c>
      <c r="Z59" s="6"/>
      <c r="AE59" s="1"/>
      <c r="AQ59" s="127" t="str">
        <f>AA46</f>
        <v>W2</v>
      </c>
      <c r="AS59" s="214">
        <f>gmprop(AB43,AD43,AB45,AD45,AQ43,AQ44,AQ45,AQ46,AQ47,"","","","","",AS43,AS44,AS45,AS46,AS47,0,0,0,0,0,AS42,100)</f>
        <v>0.00944549153169479</v>
      </c>
      <c r="AT59" s="214"/>
    </row>
    <row r="60" spans="1:31" ht="9.75" customHeight="1">
      <c r="A60" s="6"/>
      <c r="B60" s="6"/>
      <c r="C60" s="217"/>
      <c r="D60" s="125" t="str">
        <f>K57</f>
        <v>W2</v>
      </c>
      <c r="E60" s="125" t="s">
        <v>277</v>
      </c>
      <c r="F60" s="125" t="str">
        <f>E57</f>
        <v>W1</v>
      </c>
      <c r="G60" s="218"/>
      <c r="H60" s="218"/>
      <c r="Z60" s="6"/>
      <c r="AE60" s="1"/>
    </row>
    <row r="61" spans="1:31" ht="9.75" customHeight="1">
      <c r="A61" s="1"/>
      <c r="B61" s="1"/>
      <c r="Z61" s="1"/>
      <c r="AE61" s="1"/>
    </row>
    <row r="62" spans="1:31" ht="9.75" customHeight="1">
      <c r="A62" s="6"/>
      <c r="B62" s="6"/>
      <c r="C62" s="6"/>
      <c r="AE62" s="1"/>
    </row>
    <row r="63" spans="1:31" ht="9.75" customHeight="1">
      <c r="A63" s="6"/>
      <c r="B63" s="6"/>
      <c r="C63" s="6"/>
      <c r="AE63" s="1"/>
    </row>
    <row r="64" spans="1:31" ht="9.75" customHeight="1">
      <c r="A64" s="1"/>
      <c r="B64" s="1"/>
      <c r="C64" s="1"/>
      <c r="AE64" s="1"/>
    </row>
    <row r="65" spans="1:31" ht="9.75" customHeight="1">
      <c r="A65" s="6"/>
      <c r="B65" s="6"/>
      <c r="C65" s="6"/>
      <c r="AE65" s="1"/>
    </row>
    <row r="66" spans="1:31" ht="9.75" customHeight="1">
      <c r="A66" s="6"/>
      <c r="B66" s="6"/>
      <c r="C66" s="6"/>
      <c r="AE66" s="1"/>
    </row>
    <row r="67" spans="1:31" ht="9.75" customHeight="1">
      <c r="A67" s="1"/>
      <c r="B67" s="1"/>
      <c r="C67" s="1"/>
      <c r="AE67" s="1"/>
    </row>
    <row r="68" spans="1:31" ht="9.75" customHeight="1">
      <c r="A68" s="6"/>
      <c r="B68" s="6"/>
      <c r="C68" s="6"/>
      <c r="AE68" s="1"/>
    </row>
    <row r="69" spans="1:31" ht="9.75" customHeight="1">
      <c r="A69" s="1"/>
      <c r="B69" s="1"/>
      <c r="C69" s="1"/>
      <c r="AE69" s="1"/>
    </row>
    <row r="70" spans="1:31" ht="9.75" customHeight="1">
      <c r="A70" s="6"/>
      <c r="B70" s="6"/>
      <c r="C70" s="6"/>
      <c r="AE70" s="1"/>
    </row>
    <row r="71" spans="1:31" ht="9.75" customHeight="1">
      <c r="A71" s="6"/>
      <c r="B71" s="6"/>
      <c r="C71" s="6"/>
      <c r="AE71" s="1"/>
    </row>
    <row r="72" spans="1:31" ht="9.75" customHeight="1">
      <c r="A72" s="1"/>
      <c r="B72" s="1"/>
      <c r="C72" s="1"/>
      <c r="AE72" s="1"/>
    </row>
    <row r="73" spans="1:31" ht="9.75" customHeight="1">
      <c r="A73" s="6"/>
      <c r="B73" s="6"/>
      <c r="C73" s="6"/>
      <c r="D73" s="1"/>
      <c r="AE73" s="1"/>
    </row>
    <row r="74" spans="1:31" ht="9.75" customHeight="1">
      <c r="A74" s="6"/>
      <c r="B74" s="6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E74" s="1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93">
    <mergeCell ref="AS51:AT51"/>
    <mergeCell ref="AS52:AT52"/>
    <mergeCell ref="AS59:AT59"/>
    <mergeCell ref="AS53:AT53"/>
    <mergeCell ref="AS55:AT55"/>
    <mergeCell ref="AS56:AT56"/>
    <mergeCell ref="AS58:AT58"/>
    <mergeCell ref="AS49:AT49"/>
    <mergeCell ref="AU49:AV49"/>
    <mergeCell ref="AS50:AT50"/>
    <mergeCell ref="AU50:AV50"/>
    <mergeCell ref="AU46:AV46"/>
    <mergeCell ref="AS47:AT47"/>
    <mergeCell ref="AU47:AV47"/>
    <mergeCell ref="AS48:AT48"/>
    <mergeCell ref="AU48:AV48"/>
    <mergeCell ref="W54:Y54"/>
    <mergeCell ref="AS42:AT42"/>
    <mergeCell ref="AU42:AV42"/>
    <mergeCell ref="AS43:AT43"/>
    <mergeCell ref="AU43:AV43"/>
    <mergeCell ref="AS44:AT44"/>
    <mergeCell ref="AU44:AV44"/>
    <mergeCell ref="AS45:AT45"/>
    <mergeCell ref="AU45:AV45"/>
    <mergeCell ref="AS46:AT46"/>
    <mergeCell ref="AB49:AC49"/>
    <mergeCell ref="I47:J47"/>
    <mergeCell ref="R49:T50"/>
    <mergeCell ref="X50:Y50"/>
    <mergeCell ref="I46:J46"/>
    <mergeCell ref="X42:Y42"/>
    <mergeCell ref="AB42:AC42"/>
    <mergeCell ref="X47:Y47"/>
    <mergeCell ref="X45:Y45"/>
    <mergeCell ref="AB47:AC47"/>
    <mergeCell ref="N43:O43"/>
    <mergeCell ref="N44:O44"/>
    <mergeCell ref="AB45:AC45"/>
    <mergeCell ref="X43:Y43"/>
    <mergeCell ref="D40:F40"/>
    <mergeCell ref="X41:Y41"/>
    <mergeCell ref="AB41:AC41"/>
    <mergeCell ref="M40:O40"/>
    <mergeCell ref="AN42:AO42"/>
    <mergeCell ref="AN43:AO43"/>
    <mergeCell ref="AB43:AC43"/>
    <mergeCell ref="AB44:AC44"/>
    <mergeCell ref="AN44:AO44"/>
    <mergeCell ref="AL42:AM42"/>
    <mergeCell ref="AL43:AM43"/>
    <mergeCell ref="AL44:AM44"/>
    <mergeCell ref="AL56:AM56"/>
    <mergeCell ref="X46:Y46"/>
    <mergeCell ref="X51:Y51"/>
    <mergeCell ref="AB46:AC46"/>
    <mergeCell ref="AB51:AC51"/>
    <mergeCell ref="AL48:AM48"/>
    <mergeCell ref="X48:Y48"/>
    <mergeCell ref="AB48:AC48"/>
    <mergeCell ref="AB52:AC52"/>
    <mergeCell ref="AB54:AC54"/>
    <mergeCell ref="AN49:AO49"/>
    <mergeCell ref="AL55:AM55"/>
    <mergeCell ref="AL52:AM52"/>
    <mergeCell ref="AN50:AO50"/>
    <mergeCell ref="AL53:AM53"/>
    <mergeCell ref="AL49:AM49"/>
    <mergeCell ref="AN45:AO45"/>
    <mergeCell ref="AN46:AO46"/>
    <mergeCell ref="AN47:AO47"/>
    <mergeCell ref="AN48:AO48"/>
    <mergeCell ref="AL45:AM45"/>
    <mergeCell ref="AL46:AM46"/>
    <mergeCell ref="AL47:AM47"/>
    <mergeCell ref="AL51:AM51"/>
    <mergeCell ref="AL50:AM50"/>
    <mergeCell ref="AC1:AH1"/>
    <mergeCell ref="A2:X4"/>
    <mergeCell ref="AC2:AH2"/>
    <mergeCell ref="AE4:AF4"/>
    <mergeCell ref="C59:C60"/>
    <mergeCell ref="G59:G60"/>
    <mergeCell ref="H59:H60"/>
    <mergeCell ref="E42:F42"/>
    <mergeCell ref="E43:F43"/>
    <mergeCell ref="E44:F44"/>
    <mergeCell ref="X44:Y44"/>
    <mergeCell ref="N42:O42"/>
    <mergeCell ref="R51:T53"/>
    <mergeCell ref="X52:Y52"/>
    <mergeCell ref="X49:Y49"/>
    <mergeCell ref="X53:Y5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H75"/>
  <sheetViews>
    <sheetView view="pageBreakPreview" zoomScaleSheetLayoutView="100" workbookViewId="0" topLeftCell="A1">
      <selection activeCell="AB4" sqref="AB4"/>
    </sheetView>
  </sheetViews>
  <sheetFormatPr defaultColWidth="8.88671875" defaultRowHeight="13.5"/>
  <cols>
    <col min="1" max="36" width="2.3359375" style="2" customWidth="1"/>
    <col min="37" max="63" width="3.77734375" style="2" customWidth="1"/>
    <col min="64" max="16384" width="8.88671875" style="2" customWidth="1"/>
  </cols>
  <sheetData>
    <row r="1" spans="1:34" ht="9.75" customHeight="1">
      <c r="A1" s="77"/>
      <c r="B1" s="103" t="str">
        <f>title2&amp;"  :"</f>
        <v>Technical Material  :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104" t="s">
        <v>246</v>
      </c>
      <c r="Z1" s="105"/>
      <c r="AA1" s="106"/>
      <c r="AB1" s="105"/>
      <c r="AC1" s="173" t="str">
        <f>docno</f>
        <v>TM - PSY - 200</v>
      </c>
      <c r="AD1" s="164"/>
      <c r="AE1" s="164"/>
      <c r="AF1" s="164"/>
      <c r="AG1" s="164"/>
      <c r="AH1" s="164"/>
    </row>
    <row r="2" spans="1:34" ht="9.75" customHeight="1">
      <c r="A2" s="167" t="str">
        <f>title</f>
        <v>P S Y C H R O M E T R I C S   :     P R O C E S S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/>
      <c r="Y2" s="107" t="s">
        <v>247</v>
      </c>
      <c r="Z2" s="17"/>
      <c r="AA2" s="108"/>
      <c r="AB2" s="17"/>
      <c r="AC2" s="174" t="s">
        <v>251</v>
      </c>
      <c r="AD2" s="165"/>
      <c r="AE2" s="165"/>
      <c r="AF2" s="165"/>
      <c r="AG2" s="165"/>
      <c r="AH2" s="165"/>
    </row>
    <row r="3" spans="1:34" ht="9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09" t="s">
        <v>248</v>
      </c>
      <c r="Z3" s="68"/>
      <c r="AA3" s="68"/>
      <c r="AB3" s="68"/>
      <c r="AC3" s="110">
        <v>0</v>
      </c>
      <c r="AD3" s="111"/>
      <c r="AE3" s="111"/>
      <c r="AF3" s="111"/>
      <c r="AG3" s="111"/>
      <c r="AH3" s="112"/>
    </row>
    <row r="4" spans="1:34" ht="9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13" t="s">
        <v>249</v>
      </c>
      <c r="Z4" s="114"/>
      <c r="AA4" s="115"/>
      <c r="AB4" s="114"/>
      <c r="AC4" s="116"/>
      <c r="AD4" s="117">
        <v>0</v>
      </c>
      <c r="AE4" s="171" t="s">
        <v>250</v>
      </c>
      <c r="AF4" s="171"/>
      <c r="AG4" s="120">
        <f>sheetqty</f>
        <v>5</v>
      </c>
      <c r="AH4" s="119"/>
    </row>
    <row r="5" spans="1:34" ht="9.75" customHeight="1">
      <c r="A5" s="6"/>
      <c r="B5" s="1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Z5" s="5"/>
      <c r="AA5" s="5"/>
      <c r="AB5" s="5"/>
      <c r="AC5" s="5"/>
      <c r="AD5" s="5"/>
      <c r="AE5" s="5"/>
      <c r="AF5" s="5"/>
      <c r="AG5" s="5"/>
      <c r="AH5" s="4"/>
    </row>
    <row r="6" spans="1:34" ht="9.75" customHeight="1">
      <c r="A6" s="6"/>
      <c r="B6" s="1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AH6" s="3"/>
    </row>
    <row r="7" spans="1:33" ht="9.75" customHeight="1">
      <c r="A7" s="6"/>
      <c r="B7" s="6"/>
      <c r="C7" s="11" t="s">
        <v>16</v>
      </c>
      <c r="D7" s="14" t="s">
        <v>17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"/>
      <c r="W7" s="3"/>
      <c r="X7" s="3"/>
      <c r="Y7" s="3"/>
      <c r="Z7" s="6"/>
      <c r="AA7" s="6"/>
      <c r="AB7" s="6"/>
      <c r="AC7" s="6"/>
      <c r="AD7" s="6"/>
      <c r="AE7" s="6"/>
      <c r="AF7" s="6"/>
      <c r="AG7" s="6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6"/>
      <c r="AA8" s="6"/>
      <c r="AB8" s="6"/>
      <c r="AC8" s="6"/>
      <c r="AD8" s="6"/>
      <c r="AE8" s="6"/>
      <c r="AF8" s="6"/>
      <c r="AG8" s="6"/>
    </row>
    <row r="9" spans="1:29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AC9" s="3"/>
    </row>
    <row r="10" spans="1:29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C10" s="3"/>
    </row>
    <row r="11" spans="1:29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"/>
      <c r="W11" s="3"/>
      <c r="X11" s="3"/>
      <c r="Y11" s="3"/>
      <c r="Z11" s="3"/>
      <c r="AA11" s="3"/>
      <c r="AB11" s="3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9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AC13" s="3"/>
    </row>
    <row r="14" spans="1:29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</row>
    <row r="15" spans="1:29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"/>
      <c r="W15" s="3"/>
      <c r="X15" s="3"/>
      <c r="Y15" s="3"/>
      <c r="Z15" s="3"/>
      <c r="AA15" s="3"/>
      <c r="AB15" s="3"/>
      <c r="AC15" s="3"/>
    </row>
    <row r="16" spans="1:29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AC16" s="3"/>
    </row>
    <row r="17" spans="1:28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3"/>
      <c r="W17" s="3"/>
      <c r="X17" s="3"/>
      <c r="Y17" s="3"/>
      <c r="Z17" s="3"/>
      <c r="AA17" s="3"/>
      <c r="AB17" s="3"/>
    </row>
    <row r="18" spans="1:29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AC18" s="3"/>
    </row>
    <row r="19" spans="1:2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AC19" s="3"/>
    </row>
    <row r="20" spans="1:29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3"/>
      <c r="W20" s="3"/>
      <c r="X20" s="3"/>
      <c r="Y20" s="3"/>
      <c r="Z20" s="3"/>
      <c r="AA20" s="3"/>
      <c r="AB20" s="3"/>
      <c r="AC20" s="3"/>
    </row>
    <row r="21" spans="1:29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/>
      <c r="W21" s="3"/>
      <c r="X21" s="3"/>
      <c r="Y21" s="3"/>
      <c r="Z21" s="3"/>
      <c r="AA21" s="3"/>
      <c r="AB21" s="3"/>
      <c r="AC21" s="3"/>
    </row>
    <row r="22" spans="1:29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AC22" s="3"/>
    </row>
    <row r="23" spans="1:29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3"/>
      <c r="W23" s="3"/>
      <c r="X23" s="3"/>
      <c r="Y23" s="3"/>
      <c r="Z23" s="3"/>
      <c r="AA23" s="3"/>
      <c r="AB23" s="3"/>
      <c r="AC23" s="3"/>
    </row>
    <row r="24" spans="1:29" ht="9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"/>
      <c r="W24" s="3"/>
      <c r="X24" s="3"/>
      <c r="Y24" s="3"/>
      <c r="Z24" s="3"/>
      <c r="AA24" s="3"/>
      <c r="AB24" s="3"/>
      <c r="AC24" s="3"/>
    </row>
    <row r="25" spans="1:29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AC25" s="3"/>
    </row>
    <row r="26" spans="1:29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3"/>
      <c r="W26" s="3"/>
      <c r="X26" s="3"/>
      <c r="Y26" s="3"/>
      <c r="Z26" s="3"/>
      <c r="AA26" s="3"/>
      <c r="AB26" s="3"/>
      <c r="AC26" s="3"/>
    </row>
    <row r="27" spans="1:29" ht="9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3"/>
      <c r="W27" s="3"/>
      <c r="X27" s="3"/>
      <c r="Y27" s="3"/>
      <c r="Z27" s="3"/>
      <c r="AA27" s="3"/>
      <c r="AB27" s="3"/>
      <c r="AC27" s="3"/>
    </row>
    <row r="28" spans="1:29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AC28" s="3"/>
    </row>
    <row r="29" spans="1:29" ht="9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"/>
      <c r="W29" s="3"/>
      <c r="X29" s="3"/>
      <c r="Y29" s="3"/>
      <c r="Z29" s="3"/>
      <c r="AA29" s="3"/>
      <c r="AB29" s="3"/>
      <c r="AC29" s="3"/>
    </row>
    <row r="30" spans="1:29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  <c r="AC30" s="3"/>
    </row>
    <row r="31" spans="1:29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8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</row>
    <row r="33" spans="1:29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AC33" s="3"/>
    </row>
    <row r="34" spans="1:29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AC34" s="3"/>
    </row>
    <row r="35" spans="1:29" ht="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3"/>
      <c r="W35" s="3"/>
      <c r="X35" s="3"/>
      <c r="Y35" s="3"/>
      <c r="Z35" s="3"/>
      <c r="AA35" s="3"/>
      <c r="AB35" s="3"/>
      <c r="AC35" s="3"/>
    </row>
    <row r="36" spans="1:29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"/>
      <c r="W36" s="3"/>
      <c r="X36" s="3"/>
      <c r="Y36" s="3"/>
      <c r="Z36" s="3"/>
      <c r="AA36" s="3"/>
      <c r="AB36" s="3"/>
      <c r="AC36" s="3"/>
    </row>
    <row r="37" spans="1:2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9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3"/>
      <c r="W38" s="3"/>
      <c r="X38" s="3"/>
      <c r="Y38" s="3"/>
      <c r="Z38" s="3"/>
      <c r="AA38" s="3"/>
      <c r="AB38" s="3"/>
      <c r="AC38" s="3"/>
    </row>
    <row r="39" spans="1:29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  <c r="AC39" s="3"/>
    </row>
    <row r="40" spans="1:29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AC40" s="3"/>
    </row>
    <row r="41" spans="1:29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3"/>
      <c r="W41" s="3"/>
      <c r="X41" s="3"/>
      <c r="Y41" s="3"/>
      <c r="Z41" s="3"/>
      <c r="AA41" s="3"/>
      <c r="AB41" s="3"/>
      <c r="AC41" s="3"/>
    </row>
    <row r="42" spans="1:29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"/>
      <c r="W42" s="3"/>
      <c r="X42" s="3"/>
      <c r="Y42" s="3"/>
      <c r="Z42" s="3"/>
      <c r="AA42" s="3"/>
      <c r="AB42" s="3"/>
      <c r="AC42" s="3"/>
    </row>
    <row r="43" spans="1:29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C43" s="3"/>
    </row>
    <row r="44" spans="1:29" ht="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3"/>
      <c r="W44" s="3"/>
      <c r="X44" s="3"/>
      <c r="Y44" s="3"/>
      <c r="Z44" s="3"/>
      <c r="AA44" s="3"/>
      <c r="AB44" s="3"/>
      <c r="AC44" s="3"/>
    </row>
    <row r="45" spans="1:29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  <c r="AC45" s="3"/>
    </row>
    <row r="46" spans="1:29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AC46" s="3"/>
    </row>
    <row r="47" spans="1:28" ht="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3"/>
      <c r="W47" s="3"/>
      <c r="X47" s="3"/>
      <c r="Y47" s="3"/>
      <c r="Z47" s="3"/>
      <c r="AA47" s="3"/>
      <c r="AB47" s="3"/>
    </row>
    <row r="48" spans="1:29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AC48" s="3"/>
    </row>
    <row r="49" spans="1:29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AC49" s="3"/>
    </row>
    <row r="50" spans="1:29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</row>
    <row r="51" spans="1:29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3"/>
      <c r="W51" s="3"/>
      <c r="X51" s="3"/>
      <c r="Y51" s="3"/>
      <c r="Z51" s="3"/>
      <c r="AA51" s="3"/>
      <c r="AB51" s="3"/>
      <c r="AC51" s="3"/>
    </row>
    <row r="52" spans="1:29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AC52" s="3"/>
    </row>
    <row r="53" spans="1:29" ht="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3"/>
      <c r="W53" s="3"/>
      <c r="X53" s="3"/>
      <c r="Y53" s="3"/>
      <c r="Z53" s="3"/>
      <c r="AA53" s="3"/>
      <c r="AB53" s="3"/>
      <c r="AC53" s="3"/>
    </row>
    <row r="54" spans="1:29" ht="9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  <c r="AC54" s="3"/>
    </row>
    <row r="55" spans="1:29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AC55" s="3"/>
    </row>
    <row r="56" spans="1:29" ht="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3"/>
      <c r="W56" s="3"/>
      <c r="X56" s="3"/>
      <c r="Y56" s="3"/>
      <c r="Z56" s="3"/>
      <c r="AA56" s="3"/>
      <c r="AB56" s="3"/>
      <c r="AC56" s="3"/>
    </row>
    <row r="57" spans="1:29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</row>
    <row r="58" spans="1:29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AC58" s="3"/>
    </row>
    <row r="59" spans="1:29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3"/>
      <c r="W59" s="3"/>
      <c r="X59" s="3"/>
      <c r="Y59" s="3"/>
      <c r="Z59" s="3"/>
      <c r="AA59" s="3"/>
      <c r="AB59" s="3"/>
      <c r="AC59" s="3"/>
    </row>
    <row r="60" spans="1:29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3"/>
      <c r="W60" s="3"/>
      <c r="X60" s="3"/>
      <c r="Y60" s="3"/>
      <c r="Z60" s="3"/>
      <c r="AA60" s="3"/>
      <c r="AB60" s="3"/>
      <c r="AC60" s="3"/>
    </row>
    <row r="61" spans="1:29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C61" s="3"/>
    </row>
    <row r="62" spans="1:28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3"/>
      <c r="W62" s="3"/>
      <c r="X62" s="3"/>
      <c r="Y62" s="3"/>
      <c r="Z62" s="3"/>
      <c r="AA62" s="3"/>
      <c r="AB62" s="3"/>
    </row>
    <row r="63" spans="1:29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3"/>
      <c r="W63" s="3"/>
      <c r="X63" s="3"/>
      <c r="Y63" s="3"/>
      <c r="Z63" s="3"/>
      <c r="AA63" s="3"/>
      <c r="AB63" s="3"/>
      <c r="AC63" s="3"/>
    </row>
    <row r="64" spans="1:29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C64" s="3"/>
    </row>
    <row r="65" spans="1:29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AC65" s="3"/>
    </row>
    <row r="66" spans="1:29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AC66" s="3"/>
    </row>
    <row r="67" spans="1:29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"/>
      <c r="W67" s="3"/>
      <c r="X67" s="3"/>
      <c r="Y67" s="3"/>
      <c r="Z67" s="3"/>
      <c r="AA67" s="3"/>
      <c r="AB67" s="3"/>
      <c r="AC67" s="3"/>
    </row>
    <row r="68" spans="1:29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3"/>
      <c r="W68" s="3"/>
      <c r="X68" s="3"/>
      <c r="Y68" s="3"/>
      <c r="Z68" s="3"/>
      <c r="AA68" s="3"/>
      <c r="AB68" s="3"/>
      <c r="AC68" s="3"/>
    </row>
    <row r="69" spans="1:2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AC69" s="3"/>
    </row>
    <row r="70" spans="1:29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  <c r="AC70" s="3"/>
    </row>
    <row r="71" spans="1:2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9" t="str">
        <f>cosymbol</f>
        <v> NTES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0" t="str">
        <f>coname</f>
        <v>Narai Thermal engineering Services </v>
      </c>
    </row>
    <row r="117" ht="13.5" customHeight="1"/>
    <row r="118" ht="13.5" customHeight="1"/>
  </sheetData>
  <mergeCells count="4">
    <mergeCell ref="AC1:AH1"/>
    <mergeCell ref="A2:X4"/>
    <mergeCell ref="AC2:AH2"/>
    <mergeCell ref="AE4:AF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2016-02-28T05:41:51Z</cp:lastPrinted>
  <dcterms:created xsi:type="dcterms:W3CDTF">2003-02-24T17:06:01Z</dcterms:created>
  <dcterms:modified xsi:type="dcterms:W3CDTF">2016-03-08T13:36:13Z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